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2.xml" ContentType="application/vnd.openxmlformats-officedocument.drawingml.chart+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harts/chart3.xml" ContentType="application/vnd.openxmlformats-officedocument.drawingml.chart+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harts/chart4.xml" ContentType="application/vnd.openxmlformats-officedocument.drawingml.chart+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harts/chart5.xml" ContentType="application/vnd.openxmlformats-officedocument.drawingml.chart+xml"/>
  <Override PartName="/xl/drawings/drawing7.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harts/chart6.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65" windowWidth="21315" windowHeight="9615" firstSheet="11" activeTab="11"/>
  </bookViews>
  <sheets>
    <sheet name="Übersicht" sheetId="8" state="hidden" r:id="rId1"/>
    <sheet name="1. Laktation" sheetId="5" state="hidden" r:id="rId2"/>
    <sheet name="2.+3. Laktation" sheetId="7" state="hidden" r:id="rId3"/>
    <sheet name="ab 4. Laktation" sheetId="10" state="hidden" r:id="rId4"/>
    <sheet name="TMR 1. Lakt." sheetId="12" state="hidden" r:id="rId5"/>
    <sheet name="TMR 2. Lakt." sheetId="13" state="hidden" r:id="rId6"/>
    <sheet name="TMR ab 4. Lakt." sheetId="14" state="hidden" r:id="rId7"/>
    <sheet name="F1" sheetId="1" state="hidden" r:id="rId8"/>
    <sheet name="F5" sheetId="11" state="hidden" r:id="rId9"/>
    <sheet name="Lakkurve" sheetId="4" state="hidden" r:id="rId10"/>
    <sheet name="Bedarf" sheetId="6" state="hidden" r:id="rId11"/>
    <sheet name="Demo" sheetId="18" r:id="rId12"/>
    <sheet name="Erhaltungsbedarf" sheetId="19" state="hidden" r:id="rId13"/>
  </sheets>
  <definedNames>
    <definedName name="_xlnm.Print_Area" localSheetId="1">'1. Laktation'!$B$2:$I$29</definedName>
    <definedName name="_xlnm.Print_Area" localSheetId="2">'2.+3. Laktation'!$B$2:$I$25</definedName>
    <definedName name="_xlnm.Print_Area" localSheetId="3">'ab 4. Laktation'!$B$2:$I$25</definedName>
    <definedName name="_xlnm.Print_Area" localSheetId="11">Demo!$B$1:$J$37</definedName>
    <definedName name="_xlnm.Print_Area" localSheetId="7">'F1'!$B$2:$AI$42</definedName>
    <definedName name="_xlnm.Print_Area" localSheetId="4">'TMR 1. Lakt.'!$B$2:$I$25</definedName>
    <definedName name="_xlnm.Print_Area" localSheetId="5">'TMR 2. Lakt.'!$B$2:$I$25</definedName>
    <definedName name="_xlnm.Print_Area" localSheetId="6">'TMR ab 4. Lakt.'!$B$2:$I$25</definedName>
    <definedName name="_xlnm.Print_Area" localSheetId="0">Übersicht!$B$2:$H$38</definedName>
  </definedNames>
  <calcPr calcId="145621"/>
</workbook>
</file>

<file path=xl/calcChain.xml><?xml version="1.0" encoding="utf-8"?>
<calcChain xmlns="http://schemas.openxmlformats.org/spreadsheetml/2006/main">
  <c r="P22" i="18" l="1"/>
  <c r="L22" i="18"/>
  <c r="Q20" i="18" l="1"/>
  <c r="R20" i="18"/>
  <c r="S20" i="18"/>
  <c r="P20" i="18"/>
  <c r="M20" i="18"/>
  <c r="L20" i="18"/>
  <c r="D11" i="18" l="1"/>
  <c r="D19" i="18" l="1"/>
  <c r="E35" i="18" l="1"/>
  <c r="D35" i="18"/>
  <c r="E33" i="18"/>
  <c r="E34" i="18" s="1"/>
  <c r="D33" i="18"/>
  <c r="D34" i="18" s="1"/>
  <c r="E32" i="18"/>
  <c r="D32" i="18"/>
  <c r="E19" i="18"/>
  <c r="E36" i="18" l="1"/>
  <c r="D36" i="18"/>
  <c r="E10" i="18"/>
  <c r="D10" i="18"/>
  <c r="E9" i="18"/>
  <c r="D9" i="18"/>
  <c r="C10" i="19" l="1"/>
  <c r="C12" i="19" s="1"/>
  <c r="B10" i="19"/>
  <c r="B12" i="19" s="1"/>
  <c r="D13" i="18" l="1"/>
  <c r="D20" i="18"/>
  <c r="D21" i="18" s="1"/>
  <c r="D12" i="18"/>
  <c r="B11" i="19"/>
  <c r="B13" i="19" s="1"/>
  <c r="C11" i="19"/>
  <c r="C13" i="19" s="1"/>
  <c r="E11" i="18" l="1"/>
  <c r="E20" i="18" s="1"/>
  <c r="E21" i="18" s="1"/>
  <c r="E12" i="18" l="1"/>
  <c r="E13" i="18"/>
  <c r="E16" i="18" s="1"/>
  <c r="E18" i="18" s="1"/>
  <c r="D16" i="18"/>
  <c r="D18" i="18" s="1"/>
  <c r="D22" i="18" l="1"/>
  <c r="D17" i="18"/>
  <c r="E17" i="18"/>
  <c r="E22" i="18"/>
  <c r="D23" i="18" l="1"/>
  <c r="G6" i="18" s="1"/>
  <c r="AC17" i="13"/>
  <c r="AC18" i="13"/>
  <c r="AC19" i="13"/>
  <c r="AC20" i="13"/>
  <c r="AC21" i="13"/>
  <c r="AC22" i="13"/>
  <c r="AC23" i="13"/>
  <c r="AC24" i="13"/>
  <c r="AC16" i="13"/>
  <c r="C13" i="10" l="1"/>
  <c r="F19" i="1" l="1"/>
  <c r="AF22" i="1" l="1"/>
  <c r="AE22" i="1"/>
  <c r="AD22" i="1"/>
  <c r="AC22" i="1"/>
  <c r="AB22" i="1"/>
  <c r="AA22" i="1"/>
  <c r="Z22" i="1"/>
  <c r="Y22" i="1"/>
  <c r="X22" i="1"/>
  <c r="W22" i="1"/>
  <c r="V22" i="1"/>
  <c r="U22" i="1"/>
  <c r="T22" i="1"/>
  <c r="S22" i="1"/>
  <c r="R22" i="1"/>
  <c r="Q22" i="1"/>
  <c r="P22" i="1"/>
  <c r="N22" i="1"/>
  <c r="M22" i="1"/>
  <c r="L22" i="1"/>
  <c r="K22" i="1"/>
  <c r="J22" i="1"/>
  <c r="I22" i="1"/>
  <c r="H22" i="1"/>
  <c r="G22" i="1"/>
  <c r="F22" i="1"/>
  <c r="Y19" i="11"/>
  <c r="C18" i="5"/>
  <c r="L23" i="7" l="1"/>
  <c r="L24" i="7"/>
  <c r="L27" i="7"/>
  <c r="L28" i="7"/>
  <c r="L29" i="7"/>
  <c r="E22" i="5"/>
  <c r="C12" i="14" l="1"/>
  <c r="L12" i="14" s="1"/>
  <c r="C12" i="13"/>
  <c r="T12" i="13" s="1"/>
  <c r="C12" i="12"/>
  <c r="L12" i="12" s="1"/>
  <c r="C12" i="10"/>
  <c r="L12" i="10" s="1"/>
  <c r="C12" i="7"/>
  <c r="C12" i="5"/>
  <c r="L12" i="5" s="1"/>
  <c r="N24" i="10" l="1"/>
  <c r="N23" i="10"/>
  <c r="N23" i="7"/>
  <c r="L12" i="7"/>
  <c r="N24" i="7"/>
  <c r="Y26" i="11"/>
  <c r="Z26" i="11"/>
  <c r="AA26" i="11"/>
  <c r="AB26" i="11"/>
  <c r="AC26" i="11"/>
  <c r="AD26" i="11"/>
  <c r="AE26" i="11"/>
  <c r="AF26" i="11"/>
  <c r="X26" i="11"/>
  <c r="Y16" i="11"/>
  <c r="Z16" i="11"/>
  <c r="AA16" i="11"/>
  <c r="AB16" i="11"/>
  <c r="AC16" i="11"/>
  <c r="AD16" i="11"/>
  <c r="AE16" i="11"/>
  <c r="AF16" i="11"/>
  <c r="X16" i="11"/>
  <c r="Y6" i="11"/>
  <c r="Z6" i="11"/>
  <c r="AA6" i="11"/>
  <c r="AB6" i="11"/>
  <c r="AC6" i="11"/>
  <c r="AD6" i="11"/>
  <c r="AE6" i="11"/>
  <c r="AF6" i="11"/>
  <c r="X6" i="11"/>
  <c r="D34" i="6"/>
  <c r="C34" i="6"/>
  <c r="C24" i="14"/>
  <c r="AF19" i="11" s="1"/>
  <c r="C23" i="14"/>
  <c r="AE19" i="11" s="1"/>
  <c r="C22" i="14"/>
  <c r="AD19" i="11" s="1"/>
  <c r="C21" i="14"/>
  <c r="AC19" i="11" s="1"/>
  <c r="J20" i="14"/>
  <c r="C20" i="14"/>
  <c r="AB19" i="11" s="1"/>
  <c r="J19" i="14"/>
  <c r="C19" i="14"/>
  <c r="AA19" i="11" s="1"/>
  <c r="C18" i="14"/>
  <c r="Z19" i="11" s="1"/>
  <c r="C17" i="14"/>
  <c r="C16" i="14"/>
  <c r="X19" i="11" s="1"/>
  <c r="C13" i="14"/>
  <c r="Z25" i="11" s="1"/>
  <c r="C8" i="14"/>
  <c r="G12" i="6" s="1"/>
  <c r="C6" i="14"/>
  <c r="K34" i="6" s="1"/>
  <c r="H4" i="14"/>
  <c r="F12" i="6" l="1"/>
  <c r="X25" i="11"/>
  <c r="AE25" i="11"/>
  <c r="AE34" i="11" s="1"/>
  <c r="AE35" i="11" s="1"/>
  <c r="H23" i="14" s="1"/>
  <c r="E23" i="14" s="1"/>
  <c r="AC25" i="11"/>
  <c r="AC34" i="11" s="1"/>
  <c r="AC35" i="11" s="1"/>
  <c r="H21" i="14" s="1"/>
  <c r="E21" i="14" s="1"/>
  <c r="AA25" i="11"/>
  <c r="AA34" i="11" s="1"/>
  <c r="AA35" i="11" s="1"/>
  <c r="H19" i="14" s="1"/>
  <c r="E19" i="14" s="1"/>
  <c r="Y25" i="11"/>
  <c r="Y34" i="11" s="1"/>
  <c r="Y35" i="11" s="1"/>
  <c r="H17" i="14" s="1"/>
  <c r="E17" i="14" s="1"/>
  <c r="AF25" i="11"/>
  <c r="AF34" i="11" s="1"/>
  <c r="AF35" i="11" s="1"/>
  <c r="H24" i="14" s="1"/>
  <c r="E24" i="14" s="1"/>
  <c r="AD25" i="11"/>
  <c r="AD34" i="11" s="1"/>
  <c r="AD35" i="11" s="1"/>
  <c r="H22" i="14" s="1"/>
  <c r="E22" i="14" s="1"/>
  <c r="AB25" i="11"/>
  <c r="AB34" i="11" s="1"/>
  <c r="AB35" i="11" s="1"/>
  <c r="H20" i="14" s="1"/>
  <c r="E20" i="14" s="1"/>
  <c r="C20" i="13"/>
  <c r="P26" i="11"/>
  <c r="Q26" i="11"/>
  <c r="R26" i="11"/>
  <c r="S26" i="11"/>
  <c r="T26" i="11"/>
  <c r="U26" i="11"/>
  <c r="V26" i="11"/>
  <c r="W26" i="11"/>
  <c r="O26" i="11"/>
  <c r="P16" i="11"/>
  <c r="Q16" i="11"/>
  <c r="R16" i="11"/>
  <c r="S16" i="11"/>
  <c r="T16" i="11"/>
  <c r="U16" i="11"/>
  <c r="V16" i="11"/>
  <c r="W16" i="11"/>
  <c r="O16" i="11"/>
  <c r="P13" i="11"/>
  <c r="Q13" i="11"/>
  <c r="R13" i="11"/>
  <c r="S13" i="11"/>
  <c r="T13" i="11"/>
  <c r="U13" i="11"/>
  <c r="V13" i="11"/>
  <c r="W13" i="11"/>
  <c r="X13" i="11"/>
  <c r="Y13" i="11"/>
  <c r="Z13" i="11"/>
  <c r="AA13" i="11"/>
  <c r="AB13" i="11"/>
  <c r="AC13" i="11"/>
  <c r="AD13" i="11"/>
  <c r="AE13" i="11"/>
  <c r="AF13" i="11"/>
  <c r="P6" i="11"/>
  <c r="Q6" i="11"/>
  <c r="R6" i="11"/>
  <c r="S6" i="11"/>
  <c r="T6" i="11"/>
  <c r="U6" i="11"/>
  <c r="V6" i="11"/>
  <c r="W6" i="11"/>
  <c r="O6" i="11"/>
  <c r="Z34" i="11"/>
  <c r="Z35" i="11" s="1"/>
  <c r="H18" i="14" s="1"/>
  <c r="E18" i="14" s="1"/>
  <c r="D33" i="6"/>
  <c r="C33" i="6"/>
  <c r="D32" i="6"/>
  <c r="C32" i="6"/>
  <c r="C17" i="13"/>
  <c r="C18" i="13"/>
  <c r="C19" i="13"/>
  <c r="C21" i="13"/>
  <c r="C22" i="13"/>
  <c r="C23" i="13"/>
  <c r="C24" i="13"/>
  <c r="C16" i="13"/>
  <c r="AD16" i="13" s="1"/>
  <c r="J20" i="13"/>
  <c r="J19" i="13"/>
  <c r="C13" i="13"/>
  <c r="C8" i="13"/>
  <c r="G11" i="6" s="1"/>
  <c r="C6" i="13"/>
  <c r="K33" i="6" s="1"/>
  <c r="H4" i="13"/>
  <c r="H12" i="6"/>
  <c r="H34" i="6" s="1"/>
  <c r="C18" i="12"/>
  <c r="C19" i="12"/>
  <c r="C20" i="12"/>
  <c r="C21" i="12"/>
  <c r="C22" i="12"/>
  <c r="C23" i="12"/>
  <c r="C24" i="12"/>
  <c r="C17" i="12"/>
  <c r="C16" i="12"/>
  <c r="F19" i="11" s="1"/>
  <c r="AK5" i="1"/>
  <c r="G26" i="11"/>
  <c r="H26" i="11"/>
  <c r="I26" i="11"/>
  <c r="J26" i="11"/>
  <c r="K26" i="11"/>
  <c r="L26" i="11"/>
  <c r="M26" i="11"/>
  <c r="N26" i="11"/>
  <c r="F26" i="11"/>
  <c r="N19" i="11"/>
  <c r="M19" i="11"/>
  <c r="L19" i="11"/>
  <c r="K19" i="11"/>
  <c r="J19" i="11"/>
  <c r="I19" i="11"/>
  <c r="H19" i="11"/>
  <c r="G19" i="11"/>
  <c r="G13" i="11"/>
  <c r="H13" i="11"/>
  <c r="I13" i="11"/>
  <c r="J13" i="11"/>
  <c r="K13" i="11"/>
  <c r="L13" i="11"/>
  <c r="M13" i="11"/>
  <c r="N13" i="11"/>
  <c r="O13" i="11"/>
  <c r="G16" i="11"/>
  <c r="H16" i="11"/>
  <c r="I16" i="11"/>
  <c r="J16" i="11"/>
  <c r="K16" i="11"/>
  <c r="L16" i="11"/>
  <c r="M16" i="11"/>
  <c r="N16" i="11"/>
  <c r="F16" i="11"/>
  <c r="F13" i="11"/>
  <c r="P11" i="11"/>
  <c r="Q11" i="11"/>
  <c r="R11" i="11"/>
  <c r="S11" i="11"/>
  <c r="T11" i="11"/>
  <c r="U11" i="11"/>
  <c r="V11" i="11"/>
  <c r="W11" i="11"/>
  <c r="Y12" i="11"/>
  <c r="Z12" i="11"/>
  <c r="AA12" i="11"/>
  <c r="AB12" i="11"/>
  <c r="AC12" i="11"/>
  <c r="AD12" i="11"/>
  <c r="AE12" i="11"/>
  <c r="AF12" i="11"/>
  <c r="X12" i="11"/>
  <c r="G10" i="11"/>
  <c r="H10" i="11"/>
  <c r="I10" i="11"/>
  <c r="J10" i="11"/>
  <c r="K10" i="11"/>
  <c r="L10" i="11"/>
  <c r="M10" i="11"/>
  <c r="N10" i="11"/>
  <c r="F10" i="11"/>
  <c r="O11" i="11"/>
  <c r="G6" i="11"/>
  <c r="H6" i="11"/>
  <c r="I6" i="11"/>
  <c r="J6" i="11"/>
  <c r="K6" i="11"/>
  <c r="L6" i="11"/>
  <c r="M6" i="11"/>
  <c r="N6" i="11"/>
  <c r="F6" i="11"/>
  <c r="P25" i="11" l="1"/>
  <c r="S19" i="11"/>
  <c r="AD20" i="13"/>
  <c r="P19" i="11"/>
  <c r="AD17" i="13"/>
  <c r="T19" i="11"/>
  <c r="AD21" i="13"/>
  <c r="R19" i="11"/>
  <c r="AD19" i="13"/>
  <c r="Q19" i="11"/>
  <c r="AD18" i="13"/>
  <c r="W19" i="11"/>
  <c r="AD24" i="13"/>
  <c r="V19" i="11"/>
  <c r="AD23" i="13"/>
  <c r="U19" i="11"/>
  <c r="AD22" i="13"/>
  <c r="G24" i="14"/>
  <c r="F11" i="6"/>
  <c r="H11" i="6" s="1"/>
  <c r="H33" i="6" s="1"/>
  <c r="N22" i="14"/>
  <c r="N20" i="14"/>
  <c r="N18" i="14"/>
  <c r="N23" i="14"/>
  <c r="N21" i="14"/>
  <c r="M17" i="14"/>
  <c r="H6" i="14" s="1"/>
  <c r="M18" i="14"/>
  <c r="H7" i="14" s="1"/>
  <c r="M20" i="14"/>
  <c r="H9" i="14" s="1"/>
  <c r="M23" i="14"/>
  <c r="H12" i="14" s="1"/>
  <c r="M19" i="14"/>
  <c r="M22" i="14"/>
  <c r="H11" i="14" s="1"/>
  <c r="M24" i="14"/>
  <c r="H13" i="14" s="1"/>
  <c r="M16" i="14"/>
  <c r="H5" i="14" s="1"/>
  <c r="M21" i="14"/>
  <c r="H10" i="14" s="1"/>
  <c r="O25" i="11"/>
  <c r="W25" i="11"/>
  <c r="U25" i="11"/>
  <c r="S25" i="11"/>
  <c r="Q25" i="11"/>
  <c r="X34" i="11"/>
  <c r="X35" i="11" s="1"/>
  <c r="H16" i="14" s="1"/>
  <c r="E16" i="14" s="1"/>
  <c r="V25" i="11"/>
  <c r="V34" i="11" s="1"/>
  <c r="V35" i="11" s="1"/>
  <c r="T25" i="11"/>
  <c r="R25" i="11"/>
  <c r="O19" i="11"/>
  <c r="T34" i="11" l="1"/>
  <c r="T35" i="11" s="1"/>
  <c r="W34" i="11"/>
  <c r="W35" i="11" s="1"/>
  <c r="H24" i="13" s="1"/>
  <c r="E24" i="13" s="1"/>
  <c r="AF24" i="13" s="1"/>
  <c r="S34" i="11"/>
  <c r="S35" i="11" s="1"/>
  <c r="H20" i="13" s="1"/>
  <c r="E20" i="13" s="1"/>
  <c r="AF20" i="13" s="1"/>
  <c r="P34" i="11"/>
  <c r="P35" i="11" s="1"/>
  <c r="H17" i="13" s="1"/>
  <c r="E17" i="13" s="1"/>
  <c r="H21" i="13"/>
  <c r="E21" i="13" s="1"/>
  <c r="AF21" i="13" s="1"/>
  <c r="H23" i="13"/>
  <c r="E23" i="13" s="1"/>
  <c r="AF23" i="13" s="1"/>
  <c r="Q34" i="11"/>
  <c r="Q35" i="11" s="1"/>
  <c r="R34" i="11"/>
  <c r="R35" i="11" s="1"/>
  <c r="U34" i="11"/>
  <c r="U35" i="11" s="1"/>
  <c r="O34" i="11"/>
  <c r="O35" i="11" s="1"/>
  <c r="N16" i="14"/>
  <c r="N17" i="14"/>
  <c r="N19" i="14"/>
  <c r="G23" i="14"/>
  <c r="O23" i="14" s="1"/>
  <c r="I12" i="14" s="1"/>
  <c r="G20" i="14"/>
  <c r="O20" i="14" s="1"/>
  <c r="I9" i="14" s="1"/>
  <c r="G17" i="14"/>
  <c r="O17" i="14" s="1"/>
  <c r="G19" i="14"/>
  <c r="O19" i="14" s="1"/>
  <c r="G21" i="14"/>
  <c r="O21" i="14" s="1"/>
  <c r="I21" i="14" s="1"/>
  <c r="G18" i="14"/>
  <c r="O18" i="14" s="1"/>
  <c r="I18" i="14" s="1"/>
  <c r="G22" i="14"/>
  <c r="O22" i="14" s="1"/>
  <c r="O24" i="14"/>
  <c r="N24" i="14"/>
  <c r="U19" i="13"/>
  <c r="H8" i="13" s="1"/>
  <c r="U17" i="13"/>
  <c r="H6" i="13" s="1"/>
  <c r="U16" i="13"/>
  <c r="H5" i="13" s="1"/>
  <c r="U24" i="13"/>
  <c r="H13" i="13" s="1"/>
  <c r="U20" i="13"/>
  <c r="H9" i="13" s="1"/>
  <c r="U23" i="13"/>
  <c r="H12" i="13" s="1"/>
  <c r="U21" i="13"/>
  <c r="H10" i="13" s="1"/>
  <c r="U18" i="13"/>
  <c r="H7" i="13" s="1"/>
  <c r="U22" i="13"/>
  <c r="H11" i="13" s="1"/>
  <c r="H8" i="14"/>
  <c r="J20" i="12"/>
  <c r="J19" i="12"/>
  <c r="C13" i="12"/>
  <c r="C8" i="12"/>
  <c r="G10" i="6" s="1"/>
  <c r="C6" i="12"/>
  <c r="H4" i="12"/>
  <c r="F5" i="11"/>
  <c r="G24" i="13" l="1"/>
  <c r="W24" i="13" s="1"/>
  <c r="AF17" i="13"/>
  <c r="V17" i="13"/>
  <c r="V24" i="13"/>
  <c r="V23" i="13"/>
  <c r="H18" i="13"/>
  <c r="E18" i="13" s="1"/>
  <c r="AF18" i="13" s="1"/>
  <c r="V20" i="13"/>
  <c r="V21" i="13"/>
  <c r="H16" i="13"/>
  <c r="H19" i="13"/>
  <c r="E19" i="13" s="1"/>
  <c r="V19" i="13" s="1"/>
  <c r="G20" i="13"/>
  <c r="AE20" i="13" s="1"/>
  <c r="AG20" i="13" s="1"/>
  <c r="AH20" i="13" s="1"/>
  <c r="H22" i="13"/>
  <c r="E22" i="13" s="1"/>
  <c r="AF22" i="13" s="1"/>
  <c r="I24" i="14"/>
  <c r="I19" i="14"/>
  <c r="I17" i="14"/>
  <c r="G21" i="13"/>
  <c r="G17" i="13"/>
  <c r="I13" i="14"/>
  <c r="I8" i="14"/>
  <c r="I6" i="14"/>
  <c r="G16" i="14"/>
  <c r="O16" i="14" s="1"/>
  <c r="I5" i="14" s="1"/>
  <c r="G23" i="13"/>
  <c r="I20" i="14"/>
  <c r="I22" i="14"/>
  <c r="I11" i="14"/>
  <c r="I7" i="14"/>
  <c r="I23" i="14"/>
  <c r="I10" i="14"/>
  <c r="K32" i="6"/>
  <c r="F10" i="6"/>
  <c r="H10" i="6" s="1"/>
  <c r="H32" i="6" s="1"/>
  <c r="G25" i="11"/>
  <c r="G34" i="11" s="1"/>
  <c r="G35" i="11" s="1"/>
  <c r="H17" i="12" s="1"/>
  <c r="E17" i="12" s="1"/>
  <c r="I25" i="11"/>
  <c r="I34" i="11" s="1"/>
  <c r="I35" i="11" s="1"/>
  <c r="H19" i="12" s="1"/>
  <c r="E19" i="12" s="1"/>
  <c r="K25" i="11"/>
  <c r="K34" i="11" s="1"/>
  <c r="K35" i="11" s="1"/>
  <c r="H21" i="12" s="1"/>
  <c r="E21" i="12" s="1"/>
  <c r="M25" i="11"/>
  <c r="M34" i="11" s="1"/>
  <c r="M35" i="11" s="1"/>
  <c r="H23" i="12" s="1"/>
  <c r="E23" i="12" s="1"/>
  <c r="H25" i="11"/>
  <c r="H34" i="11" s="1"/>
  <c r="H35" i="11" s="1"/>
  <c r="H18" i="12" s="1"/>
  <c r="E18" i="12" s="1"/>
  <c r="J25" i="11"/>
  <c r="J34" i="11" s="1"/>
  <c r="J35" i="11" s="1"/>
  <c r="H20" i="12" s="1"/>
  <c r="E20" i="12" s="1"/>
  <c r="L25" i="11"/>
  <c r="L34" i="11" s="1"/>
  <c r="L35" i="11" s="1"/>
  <c r="H22" i="12" s="1"/>
  <c r="E22" i="12" s="1"/>
  <c r="N25" i="11"/>
  <c r="N34" i="11" s="1"/>
  <c r="N35" i="11" s="1"/>
  <c r="H24" i="12" s="1"/>
  <c r="E24" i="12" s="1"/>
  <c r="F25" i="11"/>
  <c r="F34" i="11" s="1"/>
  <c r="F35" i="11" s="1"/>
  <c r="H16" i="12" s="1"/>
  <c r="G5" i="11"/>
  <c r="H5" i="11" s="1"/>
  <c r="I5" i="11" s="1"/>
  <c r="J5" i="11" s="1"/>
  <c r="K5" i="11" s="1"/>
  <c r="L5" i="11" s="1"/>
  <c r="M5" i="11" s="1"/>
  <c r="N5" i="11" s="1"/>
  <c r="O5" i="11" s="1"/>
  <c r="P5" i="11" s="1"/>
  <c r="Q5" i="11" s="1"/>
  <c r="R5" i="11" s="1"/>
  <c r="S5" i="11" s="1"/>
  <c r="T5" i="11" s="1"/>
  <c r="U5" i="11" s="1"/>
  <c r="V5" i="11" s="1"/>
  <c r="W5" i="11" s="1"/>
  <c r="X5" i="11" s="1"/>
  <c r="Y5" i="11" s="1"/>
  <c r="Z5" i="11" s="1"/>
  <c r="AA5" i="11" s="1"/>
  <c r="AB5" i="11" s="1"/>
  <c r="AC5" i="11" s="1"/>
  <c r="AD5" i="11" s="1"/>
  <c r="AE5" i="11" s="1"/>
  <c r="AF5" i="11" s="1"/>
  <c r="B47" i="8"/>
  <c r="B46" i="8" s="1"/>
  <c r="J20" i="10"/>
  <c r="J19" i="10"/>
  <c r="C17" i="10"/>
  <c r="Y19" i="1" s="1"/>
  <c r="C18" i="10"/>
  <c r="Z19" i="1" s="1"/>
  <c r="C19" i="10"/>
  <c r="AA19" i="1" s="1"/>
  <c r="C20" i="10"/>
  <c r="AB19" i="1" s="1"/>
  <c r="C21" i="10"/>
  <c r="AC19" i="1" s="1"/>
  <c r="C22" i="10"/>
  <c r="AD19" i="1" s="1"/>
  <c r="C23" i="10"/>
  <c r="AE19" i="1" s="1"/>
  <c r="C24" i="10"/>
  <c r="AF19" i="1" s="1"/>
  <c r="C16" i="10"/>
  <c r="X19" i="1" s="1"/>
  <c r="Y16" i="1"/>
  <c r="Z16" i="1"/>
  <c r="AA16" i="1"/>
  <c r="AB16" i="1"/>
  <c r="AC16" i="1"/>
  <c r="AD16" i="1"/>
  <c r="AE16" i="1"/>
  <c r="AF16" i="1"/>
  <c r="X16" i="1"/>
  <c r="Y6" i="1"/>
  <c r="Z6" i="1"/>
  <c r="AA6" i="1"/>
  <c r="AB6" i="1"/>
  <c r="AC6" i="1"/>
  <c r="AD6" i="1"/>
  <c r="AE6" i="1"/>
  <c r="AF6" i="1"/>
  <c r="X6" i="1"/>
  <c r="D30" i="6"/>
  <c r="C30" i="6"/>
  <c r="E24" i="10"/>
  <c r="E23" i="10"/>
  <c r="E22" i="10"/>
  <c r="E21" i="10"/>
  <c r="E20" i="10"/>
  <c r="E19" i="10"/>
  <c r="E18" i="10"/>
  <c r="E17" i="10"/>
  <c r="E16" i="10"/>
  <c r="N16" i="10" s="1"/>
  <c r="C8" i="10"/>
  <c r="G7" i="6" s="1"/>
  <c r="C6" i="10"/>
  <c r="K30" i="6" s="1"/>
  <c r="H4" i="10"/>
  <c r="D29" i="6"/>
  <c r="C29" i="6"/>
  <c r="D28" i="6"/>
  <c r="C28" i="6"/>
  <c r="C20" i="7"/>
  <c r="S19" i="1" s="1"/>
  <c r="C21" i="7"/>
  <c r="T19" i="1" s="1"/>
  <c r="C22" i="7"/>
  <c r="C23" i="7"/>
  <c r="C24" i="7"/>
  <c r="C18" i="7"/>
  <c r="Q19" i="1" s="1"/>
  <c r="C19" i="7"/>
  <c r="R19" i="1" s="1"/>
  <c r="C17" i="7"/>
  <c r="P19" i="1" s="1"/>
  <c r="C16" i="7"/>
  <c r="W19" i="1"/>
  <c r="V19" i="1"/>
  <c r="U19" i="1"/>
  <c r="O19" i="1"/>
  <c r="P16" i="1"/>
  <c r="Q16" i="1"/>
  <c r="R16" i="1"/>
  <c r="S16" i="1"/>
  <c r="T16" i="1"/>
  <c r="U16" i="1"/>
  <c r="V16" i="1"/>
  <c r="W16" i="1"/>
  <c r="O16" i="1"/>
  <c r="O13" i="1"/>
  <c r="P13" i="1"/>
  <c r="Q13" i="1"/>
  <c r="R13" i="1"/>
  <c r="S13" i="1"/>
  <c r="T13" i="1"/>
  <c r="U13" i="1"/>
  <c r="V13" i="1"/>
  <c r="W13" i="1"/>
  <c r="X13" i="1"/>
  <c r="Y13" i="1"/>
  <c r="Z13" i="1"/>
  <c r="AA13" i="1"/>
  <c r="AB13" i="1"/>
  <c r="AC13" i="1"/>
  <c r="AD13" i="1"/>
  <c r="AE13" i="1"/>
  <c r="AF13" i="1"/>
  <c r="P6" i="1"/>
  <c r="Q6" i="1"/>
  <c r="R6" i="1"/>
  <c r="S6" i="1"/>
  <c r="T6" i="1"/>
  <c r="U6" i="1"/>
  <c r="V6" i="1"/>
  <c r="W6" i="1"/>
  <c r="O6" i="1"/>
  <c r="P5" i="1"/>
  <c r="Q5" i="1"/>
  <c r="R5" i="1"/>
  <c r="S5" i="1"/>
  <c r="T5" i="1"/>
  <c r="U5" i="1"/>
  <c r="V5" i="1"/>
  <c r="W5" i="1"/>
  <c r="X5" i="1"/>
  <c r="Y5" i="1"/>
  <c r="Z5" i="1"/>
  <c r="AA5" i="1"/>
  <c r="AB5" i="1"/>
  <c r="AC5" i="1"/>
  <c r="AD5" i="1"/>
  <c r="AE5" i="1"/>
  <c r="AF5" i="1"/>
  <c r="E24" i="7"/>
  <c r="E23" i="7"/>
  <c r="E22" i="7"/>
  <c r="L22" i="7" s="1"/>
  <c r="E21" i="7"/>
  <c r="L21" i="7" s="1"/>
  <c r="J20" i="7"/>
  <c r="E20" i="7"/>
  <c r="L20" i="7" s="1"/>
  <c r="J19" i="7"/>
  <c r="E19" i="7"/>
  <c r="L19" i="7" s="1"/>
  <c r="E18" i="7"/>
  <c r="E17" i="7"/>
  <c r="E16" i="7"/>
  <c r="O22" i="1" s="1"/>
  <c r="C13" i="7"/>
  <c r="C8" i="7"/>
  <c r="G6" i="6" s="1"/>
  <c r="C6" i="7"/>
  <c r="K29" i="6" s="1"/>
  <c r="H4" i="7"/>
  <c r="H4" i="5"/>
  <c r="J20" i="5"/>
  <c r="J19" i="5"/>
  <c r="E16" i="13" l="1"/>
  <c r="AF16" i="13" s="1"/>
  <c r="AE24" i="13"/>
  <c r="AG24" i="13" s="1"/>
  <c r="AH24" i="13" s="1"/>
  <c r="I24" i="13"/>
  <c r="G18" i="13"/>
  <c r="AE18" i="13" s="1"/>
  <c r="AG18" i="13" s="1"/>
  <c r="AH18" i="13" s="1"/>
  <c r="V22" i="13"/>
  <c r="G22" i="13"/>
  <c r="W22" i="13" s="1"/>
  <c r="W20" i="13"/>
  <c r="I20" i="13" s="1"/>
  <c r="AF19" i="13"/>
  <c r="V18" i="13"/>
  <c r="G19" i="13"/>
  <c r="W19" i="13" s="1"/>
  <c r="I19" i="13" s="1"/>
  <c r="I13" i="13"/>
  <c r="W17" i="13"/>
  <c r="I17" i="13" s="1"/>
  <c r="AE17" i="13"/>
  <c r="AG17" i="13" s="1"/>
  <c r="AH17" i="13" s="1"/>
  <c r="W23" i="13"/>
  <c r="I23" i="13" s="1"/>
  <c r="AE23" i="13"/>
  <c r="AG23" i="13" s="1"/>
  <c r="AH23" i="13" s="1"/>
  <c r="W21" i="13"/>
  <c r="I21" i="13" s="1"/>
  <c r="AE21" i="13"/>
  <c r="AG21" i="13" s="1"/>
  <c r="AH21" i="13" s="1"/>
  <c r="N18" i="10"/>
  <c r="N17" i="10"/>
  <c r="L18" i="7"/>
  <c r="N18" i="7"/>
  <c r="L17" i="7"/>
  <c r="N17" i="7"/>
  <c r="N16" i="7"/>
  <c r="L16" i="7"/>
  <c r="N20" i="10"/>
  <c r="N22" i="7"/>
  <c r="N21" i="7"/>
  <c r="N20" i="7"/>
  <c r="N19" i="7"/>
  <c r="E16" i="12"/>
  <c r="G16" i="12" s="1"/>
  <c r="I16" i="14"/>
  <c r="N22" i="10"/>
  <c r="N21" i="10"/>
  <c r="N19" i="10"/>
  <c r="Y25" i="1"/>
  <c r="AA25" i="1"/>
  <c r="AC25" i="1"/>
  <c r="X25" i="1"/>
  <c r="Z25" i="1"/>
  <c r="AB25" i="1"/>
  <c r="AD25" i="1"/>
  <c r="AF25" i="1"/>
  <c r="AE25" i="1"/>
  <c r="M24" i="12"/>
  <c r="M20" i="12"/>
  <c r="M17" i="12"/>
  <c r="M21" i="12"/>
  <c r="M16" i="12"/>
  <c r="M22" i="12"/>
  <c r="M18" i="12"/>
  <c r="M23" i="12"/>
  <c r="M19" i="12"/>
  <c r="Q25" i="1"/>
  <c r="S25" i="1"/>
  <c r="U25" i="1"/>
  <c r="W25" i="1"/>
  <c r="P25" i="1"/>
  <c r="R25" i="1"/>
  <c r="T25" i="1"/>
  <c r="V25" i="1"/>
  <c r="O25" i="1"/>
  <c r="F7" i="6"/>
  <c r="H7" i="6" s="1"/>
  <c r="H30" i="6" s="1"/>
  <c r="F6" i="6"/>
  <c r="H6" i="6" s="1"/>
  <c r="H29" i="6" s="1"/>
  <c r="M16" i="7" s="1"/>
  <c r="L25" i="7"/>
  <c r="V16" i="13" l="1"/>
  <c r="AE22" i="13"/>
  <c r="AG22" i="13" s="1"/>
  <c r="AH22" i="13" s="1"/>
  <c r="G16" i="13"/>
  <c r="AE16" i="13" s="1"/>
  <c r="AG16" i="13" s="1"/>
  <c r="AH16" i="13" s="1"/>
  <c r="W18" i="13"/>
  <c r="I18" i="13" s="1"/>
  <c r="I22" i="13"/>
  <c r="I9" i="13"/>
  <c r="AE19" i="13"/>
  <c r="AG19" i="13" s="1"/>
  <c r="AH19" i="13" s="1"/>
  <c r="I10" i="13"/>
  <c r="I6" i="13"/>
  <c r="I12" i="13"/>
  <c r="I8" i="13"/>
  <c r="I11" i="13"/>
  <c r="M20" i="7"/>
  <c r="M24" i="7"/>
  <c r="M21" i="7"/>
  <c r="M17" i="7"/>
  <c r="M19" i="7"/>
  <c r="M22" i="7"/>
  <c r="M18" i="7"/>
  <c r="M23" i="7"/>
  <c r="W16" i="13" l="1"/>
  <c r="I5" i="13" s="1"/>
  <c r="AH25" i="13"/>
  <c r="I7" i="13"/>
  <c r="C8" i="5"/>
  <c r="G5" i="6" s="1"/>
  <c r="C6" i="5"/>
  <c r="K28" i="6" s="1"/>
  <c r="D16" i="6"/>
  <c r="D17" i="6" s="1"/>
  <c r="D18" i="6" s="1"/>
  <c r="D19" i="6" s="1"/>
  <c r="C16" i="6"/>
  <c r="C17" i="6" s="1"/>
  <c r="C18" i="6" s="1"/>
  <c r="C19" i="6" s="1"/>
  <c r="D11" i="6"/>
  <c r="D12" i="6" s="1"/>
  <c r="D13" i="6" s="1"/>
  <c r="D14" i="6" s="1"/>
  <c r="C11" i="6"/>
  <c r="C12" i="6" s="1"/>
  <c r="C13" i="6" s="1"/>
  <c r="C14" i="6" s="1"/>
  <c r="D6" i="6"/>
  <c r="D7" i="6" s="1"/>
  <c r="D8" i="6" s="1"/>
  <c r="D9" i="6" s="1"/>
  <c r="C6" i="6"/>
  <c r="C7" i="6" s="1"/>
  <c r="C8" i="6" s="1"/>
  <c r="C9" i="6" s="1"/>
  <c r="D25" i="6"/>
  <c r="D21" i="6" s="1"/>
  <c r="D22" i="6" s="1"/>
  <c r="D23" i="6" s="1"/>
  <c r="D24" i="6" s="1"/>
  <c r="C25" i="6"/>
  <c r="C21" i="6" s="1"/>
  <c r="C22" i="6" s="1"/>
  <c r="C23" i="6" s="1"/>
  <c r="C24" i="6" s="1"/>
  <c r="I16" i="13" l="1"/>
  <c r="AH27" i="13"/>
  <c r="AH29" i="13" s="1"/>
  <c r="AD5" i="13" s="1"/>
  <c r="F5" i="6"/>
  <c r="H5" i="6" s="1"/>
  <c r="H28" i="6" s="1"/>
  <c r="E17" i="5"/>
  <c r="N17" i="5" s="1"/>
  <c r="E18" i="5"/>
  <c r="N18" i="5" s="1"/>
  <c r="E19" i="5"/>
  <c r="N19" i="5" s="1"/>
  <c r="E20" i="5"/>
  <c r="N20" i="5" s="1"/>
  <c r="E21" i="5"/>
  <c r="N21" i="5" s="1"/>
  <c r="N22" i="5"/>
  <c r="E23" i="5"/>
  <c r="E24" i="5"/>
  <c r="E16" i="5"/>
  <c r="AJ32" i="1"/>
  <c r="G10" i="1"/>
  <c r="H10" i="1"/>
  <c r="I10" i="1"/>
  <c r="J10" i="1"/>
  <c r="K10" i="1"/>
  <c r="L10" i="1"/>
  <c r="M10" i="1"/>
  <c r="N10" i="1"/>
  <c r="F10" i="1"/>
  <c r="G5" i="1"/>
  <c r="H5" i="1"/>
  <c r="I5" i="1"/>
  <c r="J5" i="1"/>
  <c r="K5" i="1"/>
  <c r="L5" i="1"/>
  <c r="M5" i="1"/>
  <c r="N5" i="1"/>
  <c r="G6" i="1"/>
  <c r="H6" i="1"/>
  <c r="I6" i="1"/>
  <c r="J6" i="1"/>
  <c r="K6" i="1"/>
  <c r="L6" i="1"/>
  <c r="M6" i="1"/>
  <c r="N6" i="1"/>
  <c r="N16" i="5" l="1"/>
  <c r="N23" i="5"/>
  <c r="N24" i="5"/>
  <c r="M17" i="10"/>
  <c r="M24" i="10"/>
  <c r="H13" i="10" s="1"/>
  <c r="M20" i="10"/>
  <c r="M16" i="10"/>
  <c r="M23" i="10"/>
  <c r="M19" i="10"/>
  <c r="M22" i="10"/>
  <c r="M18" i="10"/>
  <c r="M21" i="10"/>
  <c r="G16" i="1"/>
  <c r="H16" i="1"/>
  <c r="I16" i="1"/>
  <c r="J16" i="1"/>
  <c r="K16" i="1"/>
  <c r="L16" i="1"/>
  <c r="M16" i="1"/>
  <c r="N16" i="1"/>
  <c r="F16" i="1"/>
  <c r="G13" i="1"/>
  <c r="H13" i="1"/>
  <c r="I13" i="1"/>
  <c r="J13" i="1"/>
  <c r="K13" i="1"/>
  <c r="L13" i="1"/>
  <c r="M13" i="1"/>
  <c r="N13" i="1"/>
  <c r="F13" i="1"/>
  <c r="B27" i="4"/>
  <c r="X14" i="4"/>
  <c r="V14" i="4"/>
  <c r="T14" i="4"/>
  <c r="R14" i="4"/>
  <c r="P14" i="4"/>
  <c r="X13" i="4"/>
  <c r="V13" i="4"/>
  <c r="T13" i="4"/>
  <c r="R13" i="4"/>
  <c r="P13" i="4"/>
  <c r="X12" i="4"/>
  <c r="V12" i="4"/>
  <c r="T12" i="4"/>
  <c r="R12" i="4"/>
  <c r="P12" i="4"/>
  <c r="X11" i="4"/>
  <c r="V11" i="4"/>
  <c r="T11" i="4"/>
  <c r="R11" i="4"/>
  <c r="P11" i="4"/>
  <c r="X10" i="4"/>
  <c r="V10" i="4"/>
  <c r="T10" i="4"/>
  <c r="R10" i="4"/>
  <c r="P10" i="4"/>
  <c r="X9" i="4"/>
  <c r="V9" i="4"/>
  <c r="T9" i="4"/>
  <c r="R9" i="4"/>
  <c r="P9" i="4"/>
  <c r="X8" i="4"/>
  <c r="V8" i="4"/>
  <c r="T8" i="4"/>
  <c r="R8" i="4"/>
  <c r="P8" i="4"/>
  <c r="X7" i="4"/>
  <c r="V7" i="4"/>
  <c r="T7" i="4"/>
  <c r="R7" i="4"/>
  <c r="P7" i="4"/>
  <c r="X6" i="4"/>
  <c r="V6" i="4"/>
  <c r="T6" i="4"/>
  <c r="R6" i="4"/>
  <c r="P6" i="4"/>
  <c r="X5" i="4"/>
  <c r="V5" i="4"/>
  <c r="T5" i="4"/>
  <c r="R5" i="4"/>
  <c r="P5" i="4"/>
  <c r="I14" i="4"/>
  <c r="G14" i="4"/>
  <c r="C24" i="5" s="1"/>
  <c r="E14" i="4"/>
  <c r="C14" i="4"/>
  <c r="I13" i="4"/>
  <c r="G13" i="4"/>
  <c r="C23" i="5" s="1"/>
  <c r="E13" i="4"/>
  <c r="C13" i="4"/>
  <c r="I12" i="4"/>
  <c r="G12" i="4"/>
  <c r="C22" i="5" s="1"/>
  <c r="E12" i="4"/>
  <c r="C12" i="4"/>
  <c r="I11" i="4"/>
  <c r="G11" i="4"/>
  <c r="C21" i="5" s="1"/>
  <c r="E11" i="4"/>
  <c r="C11" i="4"/>
  <c r="I10" i="4"/>
  <c r="G10" i="4"/>
  <c r="C20" i="5" s="1"/>
  <c r="E10" i="4"/>
  <c r="C10" i="4"/>
  <c r="I9" i="4"/>
  <c r="G9" i="4"/>
  <c r="C19" i="5" s="1"/>
  <c r="E9" i="4"/>
  <c r="C9" i="4"/>
  <c r="I8" i="4"/>
  <c r="G8" i="4"/>
  <c r="E8" i="4"/>
  <c r="C8" i="4"/>
  <c r="I7" i="4"/>
  <c r="G7" i="4"/>
  <c r="C17" i="5" s="1"/>
  <c r="E7" i="4"/>
  <c r="C7" i="4"/>
  <c r="I6" i="4"/>
  <c r="G6" i="4"/>
  <c r="C16" i="5" s="1"/>
  <c r="E6" i="4"/>
  <c r="C6" i="4"/>
  <c r="K5" i="4"/>
  <c r="C13" i="5"/>
  <c r="F6" i="1"/>
  <c r="O5" i="1"/>
  <c r="F5" i="1"/>
  <c r="H8" i="12" l="1"/>
  <c r="H9" i="12"/>
  <c r="H7" i="10"/>
  <c r="H8" i="10"/>
  <c r="H5" i="10"/>
  <c r="M24" i="5"/>
  <c r="M20" i="5"/>
  <c r="M16" i="5"/>
  <c r="H5" i="5" s="1"/>
  <c r="M21" i="5"/>
  <c r="H10" i="5" s="1"/>
  <c r="M17" i="5"/>
  <c r="X34" i="1"/>
  <c r="X35" i="1" s="1"/>
  <c r="H16" i="10" s="1"/>
  <c r="Z34" i="1"/>
  <c r="Z35" i="1" s="1"/>
  <c r="H18" i="10" s="1"/>
  <c r="AB34" i="1"/>
  <c r="AB35" i="1" s="1"/>
  <c r="H20" i="10" s="1"/>
  <c r="AD34" i="1"/>
  <c r="AD35" i="1" s="1"/>
  <c r="H22" i="10" s="1"/>
  <c r="AF34" i="1"/>
  <c r="AF35" i="1" s="1"/>
  <c r="H24" i="10" s="1"/>
  <c r="P34" i="1"/>
  <c r="P35" i="1" s="1"/>
  <c r="H17" i="7" s="1"/>
  <c r="G17" i="7" s="1"/>
  <c r="R34" i="1"/>
  <c r="R35" i="1" s="1"/>
  <c r="H19" i="7" s="1"/>
  <c r="G19" i="7" s="1"/>
  <c r="T34" i="1"/>
  <c r="T35" i="1" s="1"/>
  <c r="H21" i="7" s="1"/>
  <c r="G21" i="7" s="1"/>
  <c r="V34" i="1"/>
  <c r="V35" i="1" s="1"/>
  <c r="H23" i="7" s="1"/>
  <c r="G23" i="7" s="1"/>
  <c r="O34" i="1"/>
  <c r="O35" i="1" s="1"/>
  <c r="Q34" i="1"/>
  <c r="Q35" i="1" s="1"/>
  <c r="H18" i="7" s="1"/>
  <c r="G18" i="7" s="1"/>
  <c r="S34" i="1"/>
  <c r="S35" i="1" s="1"/>
  <c r="H20" i="7" s="1"/>
  <c r="U34" i="1"/>
  <c r="U35" i="1" s="1"/>
  <c r="H22" i="7" s="1"/>
  <c r="G22" i="7" s="1"/>
  <c r="W34" i="1"/>
  <c r="W35" i="1" s="1"/>
  <c r="H24" i="7" s="1"/>
  <c r="G24" i="7" s="1"/>
  <c r="Y34" i="1"/>
  <c r="Y35" i="1" s="1"/>
  <c r="H17" i="10" s="1"/>
  <c r="AA34" i="1"/>
  <c r="AA35" i="1" s="1"/>
  <c r="H19" i="10" s="1"/>
  <c r="AC34" i="1"/>
  <c r="AC35" i="1" s="1"/>
  <c r="H21" i="10" s="1"/>
  <c r="AE34" i="1"/>
  <c r="AE35" i="1" s="1"/>
  <c r="H23" i="10" s="1"/>
  <c r="H10" i="10"/>
  <c r="H11" i="10"/>
  <c r="H12" i="10"/>
  <c r="H9" i="10"/>
  <c r="H6" i="10"/>
  <c r="M22" i="5"/>
  <c r="H11" i="5" s="1"/>
  <c r="M18" i="5"/>
  <c r="M23" i="5"/>
  <c r="H12" i="5" s="1"/>
  <c r="M19" i="5"/>
  <c r="H8" i="5" s="1"/>
  <c r="H6" i="7"/>
  <c r="H9" i="7"/>
  <c r="H5" i="7"/>
  <c r="H7" i="7"/>
  <c r="H8" i="7"/>
  <c r="H10" i="7"/>
  <c r="H11" i="7"/>
  <c r="H12" i="7"/>
  <c r="H13" i="7"/>
  <c r="M19" i="1"/>
  <c r="K19" i="1"/>
  <c r="I19" i="1"/>
  <c r="G19" i="1"/>
  <c r="H6" i="5"/>
  <c r="N19" i="1"/>
  <c r="H13" i="5"/>
  <c r="L19" i="1"/>
  <c r="J19" i="1"/>
  <c r="H9" i="5"/>
  <c r="H19" i="1"/>
  <c r="H7" i="5"/>
  <c r="G25" i="1"/>
  <c r="N25" i="1"/>
  <c r="L25" i="1"/>
  <c r="J25" i="1"/>
  <c r="H25" i="1"/>
  <c r="F25" i="1"/>
  <c r="M25" i="1"/>
  <c r="K25" i="1"/>
  <c r="K34" i="1" s="1"/>
  <c r="K35" i="1" s="1"/>
  <c r="I25" i="1"/>
  <c r="N34" i="1"/>
  <c r="N35" i="1" s="1"/>
  <c r="AJ25" i="1"/>
  <c r="AJ22" i="1"/>
  <c r="AJ16" i="1"/>
  <c r="AJ13" i="1"/>
  <c r="H16" i="7" l="1"/>
  <c r="G16" i="7" s="1"/>
  <c r="G34" i="1"/>
  <c r="G35" i="1" s="1"/>
  <c r="H17" i="5" s="1"/>
  <c r="G17" i="10"/>
  <c r="O17" i="10" s="1"/>
  <c r="G24" i="10"/>
  <c r="O24" i="10" s="1"/>
  <c r="G20" i="10"/>
  <c r="O20" i="10" s="1"/>
  <c r="G16" i="10"/>
  <c r="O16" i="10" s="1"/>
  <c r="G23" i="10"/>
  <c r="O23" i="10" s="1"/>
  <c r="G18" i="10"/>
  <c r="O18" i="10" s="1"/>
  <c r="G20" i="7"/>
  <c r="O20" i="7" s="1"/>
  <c r="N21" i="12"/>
  <c r="G21" i="12"/>
  <c r="G22" i="10"/>
  <c r="O22" i="10" s="1"/>
  <c r="G21" i="10"/>
  <c r="O21" i="10" s="1"/>
  <c r="G19" i="10"/>
  <c r="O19" i="10" s="1"/>
  <c r="O17" i="7"/>
  <c r="I6" i="7" s="1"/>
  <c r="H13" i="12"/>
  <c r="H11" i="12"/>
  <c r="H7" i="12"/>
  <c r="H5" i="12"/>
  <c r="H12" i="12"/>
  <c r="H10" i="12"/>
  <c r="H6" i="12"/>
  <c r="O21" i="12"/>
  <c r="O24" i="7"/>
  <c r="I13" i="7" s="1"/>
  <c r="O21" i="7"/>
  <c r="I10" i="7" s="1"/>
  <c r="H34" i="1"/>
  <c r="H35" i="1" s="1"/>
  <c r="H24" i="5"/>
  <c r="L34" i="1"/>
  <c r="L35" i="1" s="1"/>
  <c r="H21" i="5"/>
  <c r="J34" i="1"/>
  <c r="J35" i="1" s="1"/>
  <c r="I34" i="1"/>
  <c r="I35" i="1" s="1"/>
  <c r="M34" i="1"/>
  <c r="M35" i="1" s="1"/>
  <c r="AK26" i="1"/>
  <c r="AK19" i="1"/>
  <c r="AK25" i="1"/>
  <c r="AK8" i="1"/>
  <c r="AK16" i="1"/>
  <c r="AK13" i="1"/>
  <c r="AK11" i="1"/>
  <c r="AJ31" i="1"/>
  <c r="AJ30" i="1"/>
  <c r="AJ29" i="1"/>
  <c r="AJ19" i="1"/>
  <c r="AJ11" i="1"/>
  <c r="AJ7" i="1"/>
  <c r="AJ5" i="1"/>
  <c r="I21" i="7" l="1"/>
  <c r="I24" i="7"/>
  <c r="I18" i="10"/>
  <c r="I7" i="10"/>
  <c r="I16" i="10"/>
  <c r="I5" i="10"/>
  <c r="I13" i="10"/>
  <c r="I24" i="10"/>
  <c r="I12" i="10"/>
  <c r="I23" i="10"/>
  <c r="I20" i="10"/>
  <c r="I9" i="10"/>
  <c r="I6" i="10"/>
  <c r="I17" i="10"/>
  <c r="G24" i="5"/>
  <c r="O24" i="5" s="1"/>
  <c r="G21" i="5"/>
  <c r="O21" i="5" s="1"/>
  <c r="G17" i="5"/>
  <c r="O17" i="5" s="1"/>
  <c r="N20" i="12"/>
  <c r="G20" i="12"/>
  <c r="N18" i="12"/>
  <c r="G18" i="12"/>
  <c r="O18" i="12" s="1"/>
  <c r="N24" i="12"/>
  <c r="G24" i="12"/>
  <c r="O24" i="12" s="1"/>
  <c r="N17" i="12"/>
  <c r="G17" i="12"/>
  <c r="O17" i="12" s="1"/>
  <c r="I22" i="10"/>
  <c r="I11" i="10"/>
  <c r="I10" i="10"/>
  <c r="I21" i="10"/>
  <c r="I8" i="10"/>
  <c r="I19" i="10"/>
  <c r="I17" i="7"/>
  <c r="I10" i="12"/>
  <c r="O19" i="7"/>
  <c r="I8" i="7" s="1"/>
  <c r="O22" i="7"/>
  <c r="I11" i="7" s="1"/>
  <c r="I21" i="12"/>
  <c r="O23" i="7"/>
  <c r="I23" i="7" s="1"/>
  <c r="O20" i="12"/>
  <c r="I20" i="7"/>
  <c r="H18" i="5"/>
  <c r="O18" i="7"/>
  <c r="H23" i="5"/>
  <c r="H20" i="5"/>
  <c r="H19" i="5"/>
  <c r="H22" i="5"/>
  <c r="AK34" i="1"/>
  <c r="AK35" i="1" s="1"/>
  <c r="AK36" i="1" s="1"/>
  <c r="F34" i="1"/>
  <c r="AJ34" i="1"/>
  <c r="AJ35" i="1" s="1"/>
  <c r="AJ36" i="1" s="1"/>
  <c r="I12" i="7" l="1"/>
  <c r="I13" i="12"/>
  <c r="I10" i="5"/>
  <c r="I21" i="5"/>
  <c r="I6" i="5"/>
  <c r="I17" i="5"/>
  <c r="I13" i="5"/>
  <c r="I24" i="5"/>
  <c r="G23" i="5"/>
  <c r="O23" i="5" s="1"/>
  <c r="G19" i="5"/>
  <c r="O19" i="5" s="1"/>
  <c r="G22" i="5"/>
  <c r="O22" i="5" s="1"/>
  <c r="G20" i="5"/>
  <c r="O20" i="5" s="1"/>
  <c r="G18" i="5"/>
  <c r="O18" i="5" s="1"/>
  <c r="N23" i="12"/>
  <c r="G23" i="12"/>
  <c r="O23" i="12" s="1"/>
  <c r="N22" i="12"/>
  <c r="G22" i="12"/>
  <c r="N19" i="12"/>
  <c r="G19" i="12"/>
  <c r="O19" i="12" s="1"/>
  <c r="I22" i="7"/>
  <c r="I19" i="7"/>
  <c r="I24" i="12"/>
  <c r="I7" i="12"/>
  <c r="I18" i="12"/>
  <c r="O22" i="12"/>
  <c r="I20" i="12"/>
  <c r="I9" i="12"/>
  <c r="I6" i="12"/>
  <c r="I17" i="12"/>
  <c r="I9" i="7"/>
  <c r="I7" i="7"/>
  <c r="I18" i="7"/>
  <c r="F35" i="1"/>
  <c r="I9" i="5" l="1"/>
  <c r="I20" i="5"/>
  <c r="I8" i="5"/>
  <c r="I19" i="5"/>
  <c r="I7" i="5"/>
  <c r="I18" i="5"/>
  <c r="I11" i="5"/>
  <c r="I22" i="5"/>
  <c r="I12" i="5"/>
  <c r="I23" i="5"/>
  <c r="O16" i="7"/>
  <c r="I16" i="7" s="1"/>
  <c r="I12" i="12"/>
  <c r="I23" i="12"/>
  <c r="I19" i="12"/>
  <c r="I8" i="12"/>
  <c r="I11" i="12"/>
  <c r="I22" i="12"/>
  <c r="H16" i="5"/>
  <c r="I5" i="7" l="1"/>
  <c r="G16" i="5"/>
  <c r="O16" i="5" s="1"/>
  <c r="N16" i="12"/>
  <c r="O16" i="12"/>
  <c r="I5" i="5" l="1"/>
  <c r="I16" i="5"/>
  <c r="I5" i="12"/>
  <c r="I16" i="12"/>
</calcChain>
</file>

<file path=xl/sharedStrings.xml><?xml version="1.0" encoding="utf-8"?>
<sst xmlns="http://schemas.openxmlformats.org/spreadsheetml/2006/main" count="766" uniqueCount="246">
  <si>
    <t>Anwendungsbereich</t>
  </si>
  <si>
    <t>getrennte Vorlage</t>
  </si>
  <si>
    <t>TMR</t>
  </si>
  <si>
    <t>Nr. 1</t>
  </si>
  <si>
    <t>Nr. 5</t>
  </si>
  <si>
    <t>Quelle:</t>
  </si>
  <si>
    <t>DLG-Information 2006: Schätzung der Futteraufnahme bei der Milchkuh</t>
  </si>
  <si>
    <t>DLG-Arbeitskreis Futter und Fütterung</t>
  </si>
  <si>
    <t>Bundesarbeitskreis der Fütterungsreferenten in der DLG</t>
  </si>
  <si>
    <t>Herausgegeben von:</t>
  </si>
  <si>
    <t>Parameter</t>
  </si>
  <si>
    <t>Einheit</t>
  </si>
  <si>
    <t>Gleichung</t>
  </si>
  <si>
    <t>Intercept</t>
  </si>
  <si>
    <t>Effekt Land x Rasse</t>
  </si>
  <si>
    <t>BS [D+A]</t>
  </si>
  <si>
    <t>Fleckvieh [D+A]</t>
  </si>
  <si>
    <t>Effekt der Laktationszahl</t>
  </si>
  <si>
    <t>n</t>
  </si>
  <si>
    <t>Effekt des Laktationstages</t>
  </si>
  <si>
    <t>Tag</t>
  </si>
  <si>
    <t>c</t>
  </si>
  <si>
    <t>a</t>
  </si>
  <si>
    <t>b</t>
  </si>
  <si>
    <t>1. Laktation</t>
  </si>
  <si>
    <t xml:space="preserve"> 2. - 3. Laktation</t>
  </si>
  <si>
    <t>ab 4. Laktation</t>
  </si>
  <si>
    <t>Regressionskoeffizient für Lebendmasse</t>
  </si>
  <si>
    <r>
      <t>Modell: a+b</t>
    </r>
    <r>
      <rPr>
        <vertAlign val="subscript"/>
        <sz val="9"/>
        <color theme="1"/>
        <rFont val="Calibri"/>
        <family val="2"/>
        <scheme val="minor"/>
      </rPr>
      <t>1</t>
    </r>
    <r>
      <rPr>
        <sz val="9"/>
        <color theme="1"/>
        <rFont val="Calibri"/>
        <family val="2"/>
        <scheme val="minor"/>
      </rPr>
      <t xml:space="preserve"> * (Laktag) + b</t>
    </r>
    <r>
      <rPr>
        <vertAlign val="subscript"/>
        <sz val="9"/>
        <color theme="1"/>
        <rFont val="Calibri"/>
        <family val="2"/>
        <scheme val="minor"/>
      </rPr>
      <t>2</t>
    </r>
    <r>
      <rPr>
        <sz val="9"/>
        <color theme="1"/>
        <rFont val="Calibri"/>
        <family val="2"/>
        <scheme val="minor"/>
      </rPr>
      <t xml:space="preserve"> * (Laktag)</t>
    </r>
    <r>
      <rPr>
        <vertAlign val="superscript"/>
        <sz val="9"/>
        <color theme="1"/>
        <rFont val="Calibri"/>
        <family val="2"/>
        <scheme val="minor"/>
      </rPr>
      <t>2</t>
    </r>
  </si>
  <si>
    <r>
      <t>b</t>
    </r>
    <r>
      <rPr>
        <vertAlign val="subscript"/>
        <sz val="11"/>
        <color theme="1"/>
        <rFont val="Calibri"/>
        <family val="2"/>
        <scheme val="minor"/>
      </rPr>
      <t>1</t>
    </r>
  </si>
  <si>
    <r>
      <t>b</t>
    </r>
    <r>
      <rPr>
        <vertAlign val="subscript"/>
        <sz val="11"/>
        <color theme="1"/>
        <rFont val="Calibri"/>
        <family val="2"/>
        <scheme val="minor"/>
      </rPr>
      <t>2</t>
    </r>
    <r>
      <rPr>
        <sz val="11"/>
        <color theme="1"/>
        <rFont val="Calibri"/>
        <family val="2"/>
        <scheme val="minor"/>
      </rPr>
      <t/>
    </r>
  </si>
  <si>
    <t>Regressionskoeffizient für Kraftfuttermenge</t>
  </si>
  <si>
    <t>kg TM</t>
  </si>
  <si>
    <t>-</t>
  </si>
  <si>
    <t>Regressionskoeffizient für Kraftfutteranteil</t>
  </si>
  <si>
    <t>% IT</t>
  </si>
  <si>
    <r>
      <t xml:space="preserve">Reg.koeffizient NEL </t>
    </r>
    <r>
      <rPr>
        <vertAlign val="subscript"/>
        <sz val="11"/>
        <color theme="1"/>
        <rFont val="Calibri"/>
        <family val="2"/>
        <scheme val="minor"/>
      </rPr>
      <t>GF</t>
    </r>
  </si>
  <si>
    <t>MJ/kg TM</t>
  </si>
  <si>
    <t>Reg.koeffizient Heu</t>
  </si>
  <si>
    <t>% GF</t>
  </si>
  <si>
    <t>Reg.koeffizient Maissilage</t>
  </si>
  <si>
    <t>Reg.koeffizient Grünfutter</t>
  </si>
  <si>
    <t>g/MJ</t>
  </si>
  <si>
    <r>
      <t>R</t>
    </r>
    <r>
      <rPr>
        <vertAlign val="superscript"/>
        <sz val="11"/>
        <color theme="1"/>
        <rFont val="Calibri"/>
        <family val="2"/>
        <scheme val="minor"/>
      </rPr>
      <t>2</t>
    </r>
  </si>
  <si>
    <t>%</t>
  </si>
  <si>
    <t>RSD</t>
  </si>
  <si>
    <t>CV</t>
  </si>
  <si>
    <t>Korrekturfaktor</t>
  </si>
  <si>
    <r>
      <t>IT</t>
    </r>
    <r>
      <rPr>
        <vertAlign val="subscript"/>
        <sz val="11"/>
        <color theme="1"/>
        <rFont val="Calibri"/>
        <family val="2"/>
        <scheme val="minor"/>
      </rPr>
      <t>korrigiert</t>
    </r>
    <r>
      <rPr>
        <sz val="11"/>
        <color theme="1"/>
        <rFont val="Calibri"/>
        <family val="2"/>
        <scheme val="minor"/>
      </rPr>
      <t xml:space="preserve"> = a + b * IT</t>
    </r>
    <r>
      <rPr>
        <vertAlign val="subscript"/>
        <sz val="11"/>
        <color theme="1"/>
        <rFont val="Calibri"/>
        <family val="2"/>
        <scheme val="minor"/>
      </rPr>
      <t>predicted</t>
    </r>
  </si>
  <si>
    <t>Futteraufnahme berechnen</t>
  </si>
  <si>
    <t>Modell: (a+b) * (1 - exp(-c * Laktag))</t>
  </si>
  <si>
    <t>Nr. 2</t>
  </si>
  <si>
    <t>Regressionskoeffizient für Milchleistung</t>
  </si>
  <si>
    <t>Reg.koeffizient</t>
  </si>
  <si>
    <t>XP/NEL-Verhältnis</t>
  </si>
  <si>
    <t>XP/NEL</t>
  </si>
  <si>
    <r>
      <t>(XP/NEL)</t>
    </r>
    <r>
      <rPr>
        <vertAlign val="superscript"/>
        <sz val="11"/>
        <color theme="1"/>
        <rFont val="Calibri"/>
        <family val="2"/>
        <scheme val="minor"/>
      </rPr>
      <t>2</t>
    </r>
  </si>
  <si>
    <t>Rasse</t>
  </si>
  <si>
    <t>Holstein</t>
  </si>
  <si>
    <t>Management</t>
  </si>
  <si>
    <t>hoch</t>
  </si>
  <si>
    <t>Laktation</t>
  </si>
  <si>
    <t>Laktationstag</t>
  </si>
  <si>
    <t>Lebendmasse</t>
  </si>
  <si>
    <t>Milch/Tag</t>
  </si>
  <si>
    <t>Kraftfutter</t>
  </si>
  <si>
    <t>Grobfutter</t>
  </si>
  <si>
    <t>Heu</t>
  </si>
  <si>
    <t>Mais</t>
  </si>
  <si>
    <t>Grassilage</t>
  </si>
  <si>
    <t>Grünfutter</t>
  </si>
  <si>
    <r>
      <t>Summe Trockenmasseaufnahme It</t>
    </r>
    <r>
      <rPr>
        <b/>
        <vertAlign val="subscript"/>
        <sz val="11"/>
        <color theme="1"/>
        <rFont val="Calibri"/>
        <family val="2"/>
        <scheme val="minor"/>
      </rPr>
      <t>p.</t>
    </r>
  </si>
  <si>
    <t>Grobfutteraufnahme</t>
  </si>
  <si>
    <t>Rasse:</t>
  </si>
  <si>
    <t>Kraftfuttermenge</t>
  </si>
  <si>
    <t>Holstein-F (M: mittel)</t>
  </si>
  <si>
    <t>Holstein-F (M: hoch)</t>
  </si>
  <si>
    <t>Laktationstage</t>
  </si>
  <si>
    <t>Leistung</t>
  </si>
  <si>
    <t>2. Laktation und mehr</t>
  </si>
  <si>
    <t>getrennte Vorlage (Heu)</t>
  </si>
  <si>
    <t>Fleckvieh</t>
  </si>
  <si>
    <t>Braunvieh</t>
  </si>
  <si>
    <t>Rasse (Management)</t>
  </si>
  <si>
    <t>Holstein (mittel)</t>
  </si>
  <si>
    <t>Holstein (hoch)</t>
  </si>
  <si>
    <t>Milchleistung</t>
  </si>
  <si>
    <t>Milchmenge kg/Tag</t>
  </si>
  <si>
    <t>Futteraufnahme kg TM/Tag</t>
  </si>
  <si>
    <t>© Copyright: Entwicklung &amp; Umsetzung Möller Agrarmarketing e.K.</t>
  </si>
  <si>
    <t xml:space="preserve">Diese Datei ist urheberrechtlich geschützt. Die Verwendung außerhalb des Urheberrechtsgesetzes ist strafbar. </t>
  </si>
  <si>
    <t>Dies gilt insbesondere für Vervielfältigungen und die Einspeicherung in elektronischen Systemen.</t>
  </si>
  <si>
    <t>Nutzungsrecht bis</t>
  </si>
  <si>
    <t>TAG</t>
  </si>
  <si>
    <r>
      <t>0,38+0,932*It</t>
    </r>
    <r>
      <rPr>
        <vertAlign val="subscript"/>
        <sz val="8"/>
        <color theme="1"/>
        <rFont val="Calibri"/>
        <family val="2"/>
        <scheme val="minor"/>
      </rPr>
      <t>p.</t>
    </r>
  </si>
  <si>
    <r>
      <t>0,71+0,920*It</t>
    </r>
    <r>
      <rPr>
        <vertAlign val="subscript"/>
        <sz val="8"/>
        <color theme="1"/>
        <rFont val="Calibri"/>
        <family val="2"/>
        <scheme val="minor"/>
      </rPr>
      <t>p.</t>
    </r>
  </si>
  <si>
    <r>
      <t>0,47+0,930*It</t>
    </r>
    <r>
      <rPr>
        <vertAlign val="subscript"/>
        <sz val="12"/>
        <color theme="1"/>
        <rFont val="Calibri"/>
        <family val="2"/>
        <scheme val="minor"/>
      </rPr>
      <t>p.</t>
    </r>
  </si>
  <si>
    <t>TM / FM ???</t>
  </si>
  <si>
    <t>Formel nicht kopieren</t>
  </si>
  <si>
    <t>Erfolgreiche Milchviehfütterung, 5. Auflage, S. 547 f.</t>
  </si>
  <si>
    <t>Erhaltung
Energie</t>
  </si>
  <si>
    <t>Erhaltung Protein</t>
  </si>
  <si>
    <t>Gewicht</t>
  </si>
  <si>
    <t>Bedarf für Erhaltung</t>
  </si>
  <si>
    <t>Erhaltungsbedarf der Kuh (GfE 2001)</t>
  </si>
  <si>
    <t>Energiebedarf NEL je kg Milch</t>
  </si>
  <si>
    <t>Bedarf Energie</t>
  </si>
  <si>
    <t>Eiweiß</t>
  </si>
  <si>
    <t>Fett</t>
  </si>
  <si>
    <t xml:space="preserve"> = 0,38 x Fett + 0,21 x Eiweiß + 1,05</t>
  </si>
  <si>
    <t>Ansatz: 1 kg Lebendmasse 25 MJ NEL</t>
  </si>
  <si>
    <t>Abbau: 1 kg Lebendmasse 20 MJ NEL</t>
  </si>
  <si>
    <t>Ansatz: 1 kg Lebendmasse 16 % Protein</t>
  </si>
  <si>
    <t>?</t>
  </si>
  <si>
    <t>Proteinbedarf nXP je kg Milch</t>
  </si>
  <si>
    <t>Bedarf Protein</t>
  </si>
  <si>
    <t>Energiebedarf für Milchleistung</t>
  </si>
  <si>
    <t>Proteinbedarf Milch</t>
  </si>
  <si>
    <t>Energiebedarf</t>
  </si>
  <si>
    <t>Energie Kraftfutter</t>
  </si>
  <si>
    <t>Energie Grundfutter</t>
  </si>
  <si>
    <t>Grobfutter
kg TM/Tag</t>
  </si>
  <si>
    <t>Energieaufnahme</t>
  </si>
  <si>
    <t>Energiebilanz</t>
  </si>
  <si>
    <t>angestrebte Energieversorgung</t>
  </si>
  <si>
    <t xml:space="preserve">   getrennte Vorlage - 1. Laktation</t>
  </si>
  <si>
    <r>
      <t>Neben den aufgeführten Punkten ist die Futteraufnahme stark durch das</t>
    </r>
    <r>
      <rPr>
        <b/>
        <sz val="10"/>
        <color theme="1"/>
        <rFont val="Arial"/>
        <family val="2"/>
      </rPr>
      <t xml:space="preserve"> Einzeltier</t>
    </r>
    <r>
      <rPr>
        <sz val="10"/>
        <color theme="1"/>
        <rFont val="Arial"/>
        <family val="2"/>
      </rPr>
      <t xml:space="preserve"> beeinflusst. Bei gleicher Leistung, Lebendmasse und Laktationsstand sowie Fütterung schwanken die Futteraufnahmen beim </t>
    </r>
    <r>
      <rPr>
        <b/>
        <sz val="10"/>
        <color theme="1"/>
        <rFont val="Arial"/>
        <family val="2"/>
      </rPr>
      <t>Grobfutter innerhalb einer Herde um ca. 18 % und beim</t>
    </r>
    <r>
      <rPr>
        <sz val="10"/>
        <color theme="1"/>
        <rFont val="Arial"/>
        <family val="2"/>
      </rPr>
      <t xml:space="preserve"> </t>
    </r>
    <r>
      <rPr>
        <b/>
        <sz val="10"/>
        <color theme="1"/>
        <rFont val="Arial"/>
        <family val="2"/>
      </rPr>
      <t>Kraftfutter zwischen 10 % und 20 %</t>
    </r>
    <r>
      <rPr>
        <sz val="10"/>
        <color theme="1"/>
        <rFont val="Arial"/>
        <family val="2"/>
      </rPr>
      <t xml:space="preserve"> je nach Laktationsstand.</t>
    </r>
  </si>
  <si>
    <t>1. Streuung zwischen den Tieren</t>
  </si>
  <si>
    <t>2. Management</t>
  </si>
  <si>
    <r>
      <t xml:space="preserve">Das einzelbetriebliche Futter- und Tiermanagement hat erheblichen Einfluss auf die realisierte Futteraufnahme. Wichtige Einzelfaktoren sind bezüglich der Fütterung die Futtervorlage und das gesamte Silo- und Futtermanagement. In Bezug auf die Milchkuh sind die gezielte Vorbereitung auf die Laktation und der Gesundheitsstatus (Klauen, Stoffwechsel etc.) die entscheidenden Ansatzpunkte zur Ausschöpfung des Futteraufnahmevermögens. Sie zuvor dargestellten Einflussgrößen beim Tier und beim Futter in Abhängigkeit vom Stand der Laktation wirken bei unterschiedlichem Betriebsmanagement in gleicher Weise, so dass sich in der praktischen Rationsplanung in Abhängigkeit vom Managementniveau Zu- und Abschläge empfehlen. Dies können je nach Gegebenheit im Betrieb </t>
    </r>
    <r>
      <rPr>
        <b/>
        <sz val="10"/>
        <color theme="1"/>
        <rFont val="Arial"/>
        <family val="2"/>
      </rPr>
      <t>0,5 bis 1,5 kg TM je Kuh</t>
    </r>
    <r>
      <rPr>
        <sz val="10"/>
        <color theme="1"/>
        <rFont val="Arial"/>
        <family val="2"/>
      </rPr>
      <t xml:space="preserve"> und Tag mehr oder weniger sein.</t>
    </r>
  </si>
  <si>
    <t xml:space="preserve">   getrennte Vorlage - 2. &amp; 3. Laktation</t>
  </si>
  <si>
    <t>2./3. Laktation</t>
  </si>
  <si>
    <t>getrennt 1. Laktation</t>
  </si>
  <si>
    <t>getrennt 2./3. Laktation</t>
  </si>
  <si>
    <t>getrennt ab 4. Laktation</t>
  </si>
  <si>
    <t>getrennt 1. L.</t>
  </si>
  <si>
    <t>getrennt 2./3. L.</t>
  </si>
  <si>
    <t>getrennt ab 4. L.</t>
  </si>
  <si>
    <t xml:space="preserve">   getrennte Vorlage - ab der 4. Laktation</t>
  </si>
  <si>
    <t>Für Landwirte und Studenten ist die Nutzung GRATIS. Sprechen Sie uns an.</t>
  </si>
  <si>
    <t xml:space="preserve">   TMR - 1. Laktation</t>
  </si>
  <si>
    <t>Info</t>
  </si>
  <si>
    <t>alle Daten gleich</t>
  </si>
  <si>
    <t>Rasse aus C4 je Tabellenblatt</t>
  </si>
  <si>
    <t>Wert je Laktation</t>
  </si>
  <si>
    <t>je Laktationstag</t>
  </si>
  <si>
    <t>Gewicht je Tabellenblatt</t>
  </si>
  <si>
    <t>Milchleistung je Feld einzeln korrigieren</t>
  </si>
  <si>
    <t>Grobfutterqualität je Tabellenblatt</t>
  </si>
  <si>
    <t>Kraftfutteranteil je Tabellenblatt</t>
  </si>
  <si>
    <t>TMR 1. Laktation</t>
  </si>
  <si>
    <t>TMR 2./3. Laktation</t>
  </si>
  <si>
    <t>TMR ab 4. Laktation</t>
  </si>
  <si>
    <t>TMR 1. L.</t>
  </si>
  <si>
    <t>TMR 2./3. L.</t>
  </si>
  <si>
    <t>TMR ab 4. L.</t>
  </si>
  <si>
    <t>anpassen</t>
  </si>
  <si>
    <t>Milchmenge an Milchleistung</t>
  </si>
  <si>
    <t>Datenauswahl Diagramm</t>
  </si>
  <si>
    <t xml:space="preserve">   TMR - 2. &amp; 3. Laktation</t>
  </si>
  <si>
    <t>Futteraufnahme
Spalte anpassen</t>
  </si>
  <si>
    <t xml:space="preserve">   TMR - ab 4. Laktation</t>
  </si>
  <si>
    <t>Kraftfuttermenge je Feld einzeln korrigieren</t>
  </si>
  <si>
    <t>TM</t>
  </si>
  <si>
    <t>FM</t>
  </si>
  <si>
    <t>Kraftfutter
(je kg FM)</t>
  </si>
  <si>
    <t>Kraftfutter
kg FM/Tag</t>
  </si>
  <si>
    <t>&lt;=&gt; für Futteraufnahme-Berechnung entscheidend</t>
  </si>
  <si>
    <t>Berechnung Grobfutter</t>
  </si>
  <si>
    <t>FM/TM beachten</t>
  </si>
  <si>
    <t>Quelle: Erfolgreiche Milchviehfütterung, 5. Auflage</t>
  </si>
  <si>
    <t>3. Rationskontrolle</t>
  </si>
  <si>
    <t>Die Rationskontrolle umfasst die Abschätzung der tatsächlichen Futteraufnahme, die Überprüfung der Wasserversorgung, die Körperkonditionsbeurteilung, die Leistungskontrolle und die Überwachung des Allgemeinbefindens der Tiere einschließlich Kotbeschaffenheit. (...) Die Empfehlungen zur Rationskontrolle sind den DLG-Informationen 1 und 2/2001 zu entnehmen.</t>
  </si>
  <si>
    <t>Quelle: Auszug aus DLG-Information 1/2006: Schätzung der Futteraufnahme bei der Milchkuh</t>
  </si>
  <si>
    <t>DLG-Information 1/2006: Schätzung der Futteraufnahme bei der Milchkuh</t>
  </si>
  <si>
    <r>
      <rPr>
        <b/>
        <sz val="10"/>
        <color theme="1"/>
        <rFont val="Arial"/>
        <family val="2"/>
      </rPr>
      <t>Kontrolle der Futteraufnahme</t>
    </r>
    <r>
      <rPr>
        <sz val="10"/>
        <color theme="1"/>
        <rFont val="Arial"/>
        <family val="2"/>
      </rPr>
      <t xml:space="preserve">
Beim Futter ist die mittlere Aufnahme an Grob- und Kraftfutter bzw. Mischration je Herde bzw. Leistungsgruppe zu überprüfen. Da die Messung der Futteraufnahme vielfach zu aufwendig ist, gilt es den Verzehr abzuschätzen. Beim </t>
    </r>
    <r>
      <rPr>
        <b/>
        <sz val="10"/>
        <color theme="1"/>
        <rFont val="Arial"/>
        <family val="2"/>
      </rPr>
      <t>Kraftfutter</t>
    </r>
    <r>
      <rPr>
        <sz val="10"/>
        <color theme="1"/>
        <rFont val="Arial"/>
        <family val="2"/>
      </rPr>
      <t xml:space="preserve"> können Zukaufmengen den Verzehrsmengen für einen bestimmten Zeitraum gegenübergestellt werden. Ein eventueller Verbrauch bei den Kälbern und den Färsen ist bei den Kühen in Abzug zu bringen. Bei der Zuteilung mit Hohlmaßen ist regelmäßig das Raumgewicht zu ermitteln. (...) Beim </t>
    </r>
    <r>
      <rPr>
        <b/>
        <sz val="10"/>
        <color theme="1"/>
        <rFont val="Arial"/>
        <family val="2"/>
      </rPr>
      <t>Grobfutter</t>
    </r>
    <r>
      <rPr>
        <sz val="10"/>
        <color theme="1"/>
        <rFont val="Arial"/>
        <family val="2"/>
      </rPr>
      <t xml:space="preserve"> empfehlen sich Probewägungen. Bewährt hat sich beim Einsatz des Blockschneiders die stichprobenweise Wägung der Blöcke. Aus dem Verbrauch an Blöcken kann auf den Verzehr geschlossen werden. Beim Einsatz von Mischwagen sollten die zugeteilten Futtermengen möglichst routinemäßig über die Waage des Mischwagens erfasst werden. Zu empfehlen ist die Überprüfung der Mischgenauigkeit und der TM-Gehalte. Die Futterreste sind abzuschätzen und in Abzug zu bringen. Weicht die Futteraufnahme von den kalkulierten Werten ab, so sind alle Punkte, die den Verzehr beeinflussen, erneut zu prüfen und eventuell erforderliche Änderungen vorzunehmen. (...)
Beim </t>
    </r>
    <r>
      <rPr>
        <b/>
        <sz val="10"/>
        <color theme="1"/>
        <rFont val="Arial"/>
        <family val="2"/>
      </rPr>
      <t>Einzeltier</t>
    </r>
    <r>
      <rPr>
        <sz val="10"/>
        <color theme="1"/>
        <rFont val="Arial"/>
        <family val="2"/>
      </rPr>
      <t xml:space="preserve"> lässt sich die Futteraufnahme am Trog nur indirekt über die Leistung, die Körperkondition oder das Erscheinungsbild des Tieres abschätzen. Eine unzureichende Futteraufnahme führt zur energetischen Unterversorgung mit Leistungsabfall, Abfall des BCS sowie typischen Veränderungen in den Milchinhaltstoffen. (...)</t>
    </r>
  </si>
  <si>
    <t>Bilanz*
MJ NEL / Tag</t>
  </si>
  <si>
    <t>* ohne Auf- und Abbau von Körpersubstanz</t>
  </si>
  <si>
    <t>Milchpreis</t>
  </si>
  <si>
    <t>Tage</t>
  </si>
  <si>
    <t>Laktationstag bis</t>
  </si>
  <si>
    <t>Kraftfutter
€ pro Tag</t>
  </si>
  <si>
    <t>Grobfutter
€ pro Tag</t>
  </si>
  <si>
    <t>Milcherlös
€ pro Tag</t>
  </si>
  <si>
    <t>Futterkosten
€ pro Tag</t>
  </si>
  <si>
    <t>IOFC
€ pro Tag</t>
  </si>
  <si>
    <t>Anzahl Kühe</t>
  </si>
  <si>
    <t>Kuh/Tag</t>
  </si>
  <si>
    <t>Herde/Tag</t>
  </si>
  <si>
    <t>IOFC/Jahr</t>
  </si>
  <si>
    <t>Auswirkung besserer Grundfutterqualität: +</t>
  </si>
  <si>
    <t>Energiedichte</t>
  </si>
  <si>
    <t>Futteraufnahme
kg TM/Tag</t>
  </si>
  <si>
    <t>Ø-Grobfutter</t>
  </si>
  <si>
    <t>Top-Grobfutter</t>
  </si>
  <si>
    <t>Kosten Grundfutter
€/dt TM</t>
  </si>
  <si>
    <t>Milchpreis
Cent/kg</t>
  </si>
  <si>
    <t>Energieaufnahme
MJ NEL/Tag</t>
  </si>
  <si>
    <t>Erhaltungsbedarf
MJ NEL/Tag</t>
  </si>
  <si>
    <t>Energiebedarf
MJ NEL/kg Milch</t>
  </si>
  <si>
    <t>Milchmenge
kg/Tag</t>
  </si>
  <si>
    <t>Energiedichte
Kraftfutter MJ NEL</t>
  </si>
  <si>
    <t>Anzahl Kühe:</t>
  </si>
  <si>
    <t>Erhaltungsbedarf
pro Tag</t>
  </si>
  <si>
    <t>3. bis 5. Gruppe in der Laktation</t>
  </si>
  <si>
    <t>Gewicht je Kuh</t>
  </si>
  <si>
    <t>Energie</t>
  </si>
  <si>
    <t>Protein (g nXP)</t>
  </si>
  <si>
    <t>Grundfutter
Kosten pro Tag</t>
  </si>
  <si>
    <t>Kraftfutter
Kosten pro Tag</t>
  </si>
  <si>
    <t>IOFC pro Kuh/Tag</t>
  </si>
  <si>
    <t>IOFC steigt durch Top-Grobfutter</t>
  </si>
  <si>
    <t>Kraftfutteraufwand</t>
  </si>
  <si>
    <t>Futteraufnahme steigt je 0,1 MJ NEL um + …</t>
  </si>
  <si>
    <t>&lt;&lt; Kraftfutteranteil</t>
  </si>
  <si>
    <t>Rohprotein</t>
  </si>
  <si>
    <t>Rohproteinaufnahme
g Tag</t>
  </si>
  <si>
    <t>Grobfutteraufnahme TM/Tag &gt;&gt;</t>
  </si>
  <si>
    <t>Kraftfutterkosten
€/dt FM</t>
  </si>
  <si>
    <t>&gt;&gt;</t>
  </si>
  <si>
    <t>Kosten pro Hektar</t>
  </si>
  <si>
    <t>Kosten je dt/TM</t>
  </si>
  <si>
    <t>Ertrag dt/TM</t>
  </si>
  <si>
    <t>Machen Investitionen in's Grünland Grassilage teurer?</t>
  </si>
  <si>
    <t>Energieertrag
MJ NEL/ha</t>
  </si>
  <si>
    <t>Kosten in Cent
je kg Rohprotein</t>
  </si>
  <si>
    <t>Kosten in Cent
je 10 MJ NEL</t>
  </si>
  <si>
    <t>&lt;</t>
  </si>
  <si>
    <t>Differenz pro Herde/Tag</t>
  </si>
  <si>
    <t>&lt;&lt; Du kannst weiter entfernte Pachtflächen abgeben</t>
  </si>
  <si>
    <t>Betrieb 1</t>
  </si>
  <si>
    <t>Betrieb 2</t>
  </si>
  <si>
    <t>Grundfutter-Check: Was bringt gute Gras- und Maissilage?</t>
  </si>
  <si>
    <t>Maissilage</t>
  </si>
  <si>
    <t>Kosten dt/FM</t>
  </si>
  <si>
    <t>TS %</t>
  </si>
  <si>
    <t>Kosten dt/TM</t>
  </si>
  <si>
    <t>Kosten Grundfutter
dt/TM</t>
  </si>
  <si>
    <t>Körnermais</t>
  </si>
  <si>
    <t>Soja</t>
  </si>
  <si>
    <t>Raps</t>
  </si>
  <si>
    <t>Mischung</t>
  </si>
  <si>
    <t>Was bringt besseres Grundfutter?</t>
  </si>
  <si>
    <t>Kosten Kraftfutter
dt/FM</t>
  </si>
  <si>
    <t>Kuh/Tag
kg TM</t>
  </si>
  <si>
    <t>Kuh/Tag
kg FM</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</si>
</sst>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4" formatCode="_-* #,##0.00\ &quot;€&quot;_-;\-* #,##0.00\ &quot;€&quot;_-;_-* &quot;-&quot;??\ &quot;€&quot;_-;_-@_-"/>
    <numFmt numFmtId="164" formatCode="0.0000000000"/>
    <numFmt numFmtId="165" formatCode="0.000"/>
    <numFmt numFmtId="166" formatCode="0.0"/>
    <numFmt numFmtId="167" formatCode="0\ &quot;Monate&quot;"/>
    <numFmt numFmtId="168" formatCode="0.0\ &quot;kg&quot;"/>
    <numFmt numFmtId="169" formatCode="0\ &quot;kg&quot;"/>
    <numFmt numFmtId="170" formatCode="0.0\ &quot;MJ NEL&quot;"/>
    <numFmt numFmtId="171" formatCode="&quot;(noch&quot;\ 0\ &quot;Tage)&quot;"/>
    <numFmt numFmtId="172" formatCode="0.0\ &quot;%&quot;"/>
    <numFmt numFmtId="173" formatCode="&quot;Kraftfutter&quot;\ 0\ &quot;%&quot;"/>
    <numFmt numFmtId="174" formatCode="0.00\ &quot;MJ NEL&quot;"/>
    <numFmt numFmtId="175" formatCode="0.0\ &quot;kg FM&quot;"/>
    <numFmt numFmtId="176" formatCode="0.00\ &quot;kg&quot;"/>
    <numFmt numFmtId="177" formatCode="0.0\ &quot;Cent&quot;"/>
    <numFmt numFmtId="178" formatCode="#,##0.0\ &quot;€&quot;"/>
    <numFmt numFmtId="179" formatCode="0\ &quot;€/dt TM&quot;"/>
    <numFmt numFmtId="180" formatCode="0\ &quot;€/dt FM&quot;"/>
    <numFmt numFmtId="181" formatCode="#,##0\ &quot;€&quot;"/>
    <numFmt numFmtId="182" formatCode="0\ &quot;nXP&quot;"/>
    <numFmt numFmtId="183" formatCode="0\ &quot;%&quot;"/>
    <numFmt numFmtId="184" formatCode="0\ &quot;g&quot;"/>
    <numFmt numFmtId="185" formatCode="0.00\ &quot;kg TM pro Kuh/Tag&quot;"/>
    <numFmt numFmtId="186" formatCode="0\ &quot;MJ NEL&quot;"/>
    <numFmt numFmtId="187" formatCode="#,##0\ &quot;g&quot;"/>
    <numFmt numFmtId="188" formatCode="#,##0\ &quot;MJ NEL&quot;"/>
    <numFmt numFmtId="189" formatCode="#,##0.0\ &quot;Cent&quot;"/>
    <numFmt numFmtId="190" formatCode="#,##0\ &quot;kg&quot;"/>
  </numFmts>
  <fonts count="8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1"/>
      <name val="Calibri"/>
      <family val="2"/>
      <scheme val="minor"/>
    </font>
    <font>
      <sz val="9"/>
      <color theme="1"/>
      <name val="Calibri"/>
      <family val="2"/>
      <scheme val="minor"/>
    </font>
    <font>
      <vertAlign val="subscript"/>
      <sz val="9"/>
      <color theme="1"/>
      <name val="Calibri"/>
      <family val="2"/>
      <scheme val="minor"/>
    </font>
    <font>
      <vertAlign val="superscript"/>
      <sz val="9"/>
      <color theme="1"/>
      <name val="Calibri"/>
      <family val="2"/>
      <scheme val="minor"/>
    </font>
    <font>
      <vertAlign val="subscript"/>
      <sz val="11"/>
      <color theme="1"/>
      <name val="Calibri"/>
      <family val="2"/>
      <scheme val="minor"/>
    </font>
    <font>
      <vertAlign val="superscript"/>
      <sz val="11"/>
      <color theme="1"/>
      <name val="Calibri"/>
      <family val="2"/>
      <scheme val="minor"/>
    </font>
    <font>
      <sz val="11"/>
      <color rgb="FFFF0000"/>
      <name val="Calibri"/>
      <family val="2"/>
      <scheme val="minor"/>
    </font>
    <font>
      <sz val="18"/>
      <color theme="1"/>
      <name val="Calibri"/>
      <family val="2"/>
      <scheme val="minor"/>
    </font>
    <font>
      <sz val="11"/>
      <name val="Calibri"/>
      <family val="2"/>
      <scheme val="minor"/>
    </font>
    <font>
      <b/>
      <vertAlign val="subscript"/>
      <sz val="11"/>
      <color theme="1"/>
      <name val="Calibri"/>
      <family val="2"/>
      <scheme val="minor"/>
    </font>
    <font>
      <b/>
      <sz val="11"/>
      <color rgb="FFFF0000"/>
      <name val="Calibri"/>
      <family val="2"/>
      <scheme val="minor"/>
    </font>
    <font>
      <b/>
      <sz val="10"/>
      <color theme="0"/>
      <name val="Arial"/>
      <family val="2"/>
    </font>
    <font>
      <sz val="10"/>
      <color rgb="FFFF0000"/>
      <name val="Arial"/>
      <family val="2"/>
    </font>
    <font>
      <b/>
      <sz val="10"/>
      <color theme="1"/>
      <name val="Arial"/>
      <family val="2"/>
    </font>
    <font>
      <b/>
      <sz val="10"/>
      <color rgb="FFFF0000"/>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b/>
      <sz val="8"/>
      <color rgb="FFFF0000"/>
      <name val="Calibri"/>
      <family val="2"/>
      <scheme val="minor"/>
    </font>
    <font>
      <sz val="8"/>
      <color rgb="FFFF0000"/>
      <name val="Calibri"/>
      <family val="2"/>
      <scheme val="minor"/>
    </font>
    <font>
      <b/>
      <sz val="16"/>
      <color theme="1"/>
      <name val="Calibri"/>
      <family val="2"/>
      <scheme val="minor"/>
    </font>
    <font>
      <b/>
      <sz val="12"/>
      <color theme="1"/>
      <name val="Calibri"/>
      <family val="2"/>
      <scheme val="minor"/>
    </font>
    <font>
      <sz val="11"/>
      <color theme="9" tint="-0.499984740745262"/>
      <name val="Calibri"/>
      <family val="2"/>
      <scheme val="minor"/>
    </font>
    <font>
      <sz val="10"/>
      <color theme="9" tint="-0.499984740745262"/>
      <name val="Arial"/>
      <family val="2"/>
    </font>
    <font>
      <b/>
      <sz val="12"/>
      <color theme="1"/>
      <name val="Arial"/>
      <family val="2"/>
    </font>
    <font>
      <b/>
      <sz val="10"/>
      <color theme="0" tint="-4.9989318521683403E-2"/>
      <name val="Arial"/>
      <family val="2"/>
    </font>
    <font>
      <sz val="8"/>
      <color theme="1"/>
      <name val="Arial"/>
      <family val="2"/>
    </font>
    <font>
      <sz val="12"/>
      <color theme="1"/>
      <name val="Calibri"/>
      <family val="2"/>
      <scheme val="minor"/>
    </font>
    <font>
      <sz val="16"/>
      <color theme="1"/>
      <name val="Calibri"/>
      <family val="2"/>
      <scheme val="minor"/>
    </font>
    <font>
      <sz val="16"/>
      <name val="Calibri"/>
      <family val="2"/>
      <scheme val="minor"/>
    </font>
    <font>
      <b/>
      <sz val="11"/>
      <color theme="1"/>
      <name val="Arial"/>
      <family val="2"/>
    </font>
    <font>
      <sz val="11"/>
      <color theme="1"/>
      <name val="Arial"/>
      <family val="2"/>
    </font>
    <font>
      <sz val="8"/>
      <color theme="0" tint="-0.499984740745262"/>
      <name val="Arial"/>
      <family val="2"/>
    </font>
    <font>
      <u/>
      <sz val="9.9"/>
      <color theme="10"/>
      <name val="Calibri"/>
      <family val="2"/>
    </font>
    <font>
      <u/>
      <sz val="8"/>
      <color theme="1" tint="0.249977111117893"/>
      <name val="Arial"/>
      <family val="2"/>
    </font>
    <font>
      <sz val="8"/>
      <color theme="1" tint="0.249977111117893"/>
      <name val="Arial"/>
      <family val="2"/>
    </font>
    <font>
      <sz val="10"/>
      <color theme="0" tint="-0.499984740745262"/>
      <name val="Arial"/>
      <family val="2"/>
    </font>
    <font>
      <sz val="10"/>
      <color theme="1" tint="0.249977111117893"/>
      <name val="Arial"/>
      <family val="2"/>
    </font>
    <font>
      <b/>
      <sz val="10"/>
      <color theme="1" tint="0.249977111117893"/>
      <name val="Arial"/>
      <family val="2"/>
    </font>
    <font>
      <vertAlign val="subscript"/>
      <sz val="8"/>
      <color theme="1"/>
      <name val="Calibri"/>
      <family val="2"/>
      <scheme val="minor"/>
    </font>
    <font>
      <vertAlign val="subscript"/>
      <sz val="12"/>
      <color theme="1"/>
      <name val="Calibri"/>
      <family val="2"/>
      <scheme val="minor"/>
    </font>
    <font>
      <i/>
      <sz val="16"/>
      <color theme="1"/>
      <name val="Calibri"/>
      <family val="2"/>
      <scheme val="minor"/>
    </font>
    <font>
      <b/>
      <sz val="16"/>
      <color rgb="FFFF0000"/>
      <name val="Calibri"/>
      <family val="2"/>
      <scheme val="minor"/>
    </font>
    <font>
      <b/>
      <sz val="11"/>
      <color theme="9" tint="-0.499984740745262"/>
      <name val="Calibri"/>
      <family val="2"/>
      <scheme val="minor"/>
    </font>
    <font>
      <b/>
      <sz val="11"/>
      <color theme="0"/>
      <name val="Calibri"/>
      <family val="2"/>
      <scheme val="minor"/>
    </font>
    <font>
      <sz val="11"/>
      <color rgb="FFFF0000"/>
      <name val="Arial"/>
      <family val="2"/>
    </font>
    <font>
      <b/>
      <sz val="10"/>
      <color rgb="FFFF0000"/>
      <name val="Arial"/>
      <family val="2"/>
    </font>
    <font>
      <sz val="8"/>
      <color rgb="FFFF0000"/>
      <name val="Arial"/>
      <family val="2"/>
    </font>
    <font>
      <sz val="10"/>
      <color theme="0" tint="-0.249977111117893"/>
      <name val="Arial"/>
      <family val="2"/>
    </font>
    <font>
      <b/>
      <sz val="10"/>
      <color theme="0" tint="-0.249977111117893"/>
      <name val="Arial"/>
      <family val="2"/>
    </font>
    <font>
      <sz val="9"/>
      <color theme="1" tint="0.249977111117893"/>
      <name val="Arial"/>
      <family val="2"/>
    </font>
    <font>
      <b/>
      <sz val="9"/>
      <color theme="1"/>
      <name val="Arial"/>
      <family val="2"/>
    </font>
    <font>
      <i/>
      <sz val="10"/>
      <color theme="1"/>
      <name val="Arial"/>
      <family val="2"/>
    </font>
    <font>
      <sz val="9"/>
      <color rgb="FFFF0000"/>
      <name val="Arial"/>
      <family val="2"/>
    </font>
    <font>
      <i/>
      <sz val="11"/>
      <color theme="1"/>
      <name val="Arial"/>
      <family val="2"/>
    </font>
    <font>
      <b/>
      <sz val="9"/>
      <color rgb="FFFF0000"/>
      <name val="Arial"/>
      <family val="2"/>
    </font>
    <font>
      <b/>
      <sz val="16"/>
      <color theme="1"/>
      <name val="Arial"/>
      <family val="2"/>
    </font>
    <font>
      <b/>
      <i/>
      <sz val="10"/>
      <color theme="1"/>
      <name val="Arial"/>
      <family val="2"/>
    </font>
    <font>
      <sz val="7"/>
      <color theme="1" tint="0.249977111117893"/>
      <name val="Arial"/>
      <family val="2"/>
    </font>
    <font>
      <b/>
      <sz val="7"/>
      <color theme="1" tint="0.249977111117893"/>
      <name val="Arial"/>
      <family val="2"/>
    </font>
    <font>
      <b/>
      <sz val="11"/>
      <color theme="0"/>
      <name val="Arial"/>
      <family val="2"/>
    </font>
    <font>
      <b/>
      <sz val="12"/>
      <color theme="0"/>
      <name val="Arial"/>
      <family val="2"/>
    </font>
    <font>
      <b/>
      <sz val="36"/>
      <color theme="0"/>
      <name val="Arial"/>
      <family val="2"/>
    </font>
    <font>
      <b/>
      <sz val="14"/>
      <color theme="0"/>
      <name val="Arial"/>
      <family val="2"/>
    </font>
    <font>
      <b/>
      <sz val="14"/>
      <color theme="1"/>
      <name val="Arial"/>
      <family val="2"/>
    </font>
    <font>
      <sz val="11"/>
      <color theme="6" tint="-0.499984740745262"/>
      <name val="Arial"/>
      <family val="2"/>
    </font>
    <font>
      <b/>
      <sz val="11"/>
      <color theme="6" tint="-0.499984740745262"/>
      <name val="Arial"/>
      <family val="2"/>
    </font>
    <font>
      <b/>
      <sz val="11"/>
      <color rgb="FFC00000"/>
      <name val="Arial"/>
      <family val="2"/>
    </font>
    <font>
      <b/>
      <sz val="48"/>
      <color theme="0"/>
      <name val="Arial"/>
      <family val="2"/>
    </font>
    <font>
      <sz val="11"/>
      <color theme="1" tint="0.249977111117893"/>
      <name val="Arial"/>
      <family val="2"/>
    </font>
    <font>
      <b/>
      <sz val="11"/>
      <color theme="1" tint="0.249977111117893"/>
      <name val="Arial"/>
      <family val="2"/>
    </font>
  </fonts>
  <fills count="2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90A52C"/>
        <bgColor indexed="64"/>
      </patternFill>
    </fill>
    <fill>
      <patternFill patternType="solid">
        <fgColor theme="6"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249977111117893"/>
        <bgColor indexed="64"/>
      </patternFill>
    </fill>
    <fill>
      <patternFill patternType="solid">
        <fgColor rgb="FFCED40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1" tint="0.34998626667073579"/>
        <bgColor indexed="64"/>
      </patternFill>
    </fill>
    <fill>
      <patternFill patternType="solid">
        <fgColor rgb="FFC00000"/>
        <bgColor indexed="64"/>
      </patternFill>
    </fill>
    <fill>
      <patternFill patternType="solid">
        <fgColor theme="6" tint="-0.499984740745262"/>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0"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s>
  <cellStyleXfs count="4">
    <xf numFmtId="0" fontId="0" fillId="0" borderId="0"/>
    <xf numFmtId="9" fontId="9" fillId="0" borderId="0" applyFont="0" applyFill="0" applyBorder="0" applyAlignment="0" applyProtection="0"/>
    <xf numFmtId="44" fontId="9" fillId="0" borderId="0" applyFont="0" applyFill="0" applyBorder="0" applyAlignment="0" applyProtection="0"/>
    <xf numFmtId="0" fontId="43" fillId="0" borderId="0" applyNumberFormat="0" applyFill="0" applyBorder="0" applyAlignment="0" applyProtection="0">
      <alignment vertical="top"/>
      <protection locked="0"/>
    </xf>
  </cellStyleXfs>
  <cellXfs count="530">
    <xf numFmtId="0" fontId="0" fillId="0" borderId="0" xfId="0"/>
    <xf numFmtId="0" fontId="1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10" fillId="0" borderId="2" xfId="0" applyFont="1" applyBorder="1" applyAlignment="1">
      <alignment horizontal="center" vertical="center" wrapText="1"/>
    </xf>
    <xf numFmtId="0" fontId="0" fillId="0" borderId="3" xfId="0" applyBorder="1" applyAlignment="1">
      <alignment horizontal="center" vertical="center"/>
    </xf>
    <xf numFmtId="0" fontId="11" fillId="0" borderId="4" xfId="0" applyFont="1"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7" fillId="0" borderId="0" xfId="0" applyFont="1" applyAlignment="1">
      <alignment horizontal="left" vertical="center"/>
    </xf>
    <xf numFmtId="0" fontId="10" fillId="0" borderId="15"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165" fontId="0" fillId="0" borderId="0" xfId="0" applyNumberFormat="1" applyAlignment="1">
      <alignment horizontal="center" vertical="center"/>
    </xf>
    <xf numFmtId="2" fontId="0" fillId="0" borderId="0" xfId="0" applyNumberFormat="1" applyAlignment="1">
      <alignment horizontal="center" vertical="center"/>
    </xf>
    <xf numFmtId="0" fontId="10" fillId="0" borderId="10"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2" fontId="10" fillId="0" borderId="0" xfId="0" applyNumberFormat="1" applyFont="1" applyBorder="1" applyAlignment="1">
      <alignment horizontal="center" vertical="center"/>
    </xf>
    <xf numFmtId="166" fontId="10" fillId="0" borderId="23" xfId="0" applyNumberFormat="1" applyFont="1" applyBorder="1" applyAlignment="1">
      <alignment horizontal="center" vertical="center"/>
    </xf>
    <xf numFmtId="166" fontId="10" fillId="0" borderId="25" xfId="0" applyNumberFormat="1" applyFont="1" applyBorder="1" applyAlignment="1">
      <alignment horizontal="center" vertical="center"/>
    </xf>
    <xf numFmtId="0" fontId="0" fillId="0" borderId="12" xfId="0" applyBorder="1" applyAlignment="1">
      <alignment horizontal="left" vertical="center"/>
    </xf>
    <xf numFmtId="0" fontId="10" fillId="0" borderId="24" xfId="0" applyFont="1" applyBorder="1" applyAlignment="1">
      <alignment horizontal="center" vertical="center"/>
    </xf>
    <xf numFmtId="0" fontId="0" fillId="0" borderId="0" xfId="0" applyBorder="1" applyAlignment="1">
      <alignment horizontal="center" vertical="center"/>
    </xf>
    <xf numFmtId="165" fontId="0" fillId="0" borderId="26" xfId="0" applyNumberFormat="1" applyBorder="1" applyAlignment="1">
      <alignment horizontal="center" vertical="center"/>
    </xf>
    <xf numFmtId="0" fontId="16" fillId="0" borderId="0" xfId="0" applyFont="1" applyBorder="1" applyAlignment="1">
      <alignment horizontal="center" vertical="center"/>
    </xf>
    <xf numFmtId="164" fontId="0" fillId="0" borderId="0" xfId="0" applyNumberFormat="1" applyBorder="1" applyAlignment="1">
      <alignment horizontal="center" vertical="center"/>
    </xf>
    <xf numFmtId="165" fontId="16" fillId="0" borderId="26" xfId="0" applyNumberFormat="1" applyFont="1" applyBorder="1" applyAlignment="1">
      <alignment horizontal="center" vertical="center"/>
    </xf>
    <xf numFmtId="165" fontId="18" fillId="2" borderId="1" xfId="0" applyNumberFormat="1" applyFont="1" applyFill="1" applyBorder="1" applyAlignment="1">
      <alignment horizontal="center" vertical="center"/>
    </xf>
    <xf numFmtId="165" fontId="18" fillId="3" borderId="0" xfId="0" applyNumberFormat="1" applyFont="1" applyFill="1" applyBorder="1" applyAlignment="1">
      <alignment horizontal="center" vertical="center"/>
    </xf>
    <xf numFmtId="0" fontId="10" fillId="0" borderId="18" xfId="0" applyFont="1" applyBorder="1" applyAlignment="1">
      <alignment horizontal="center" vertical="center"/>
    </xf>
    <xf numFmtId="0" fontId="10" fillId="0" borderId="16" xfId="0" applyFont="1" applyBorder="1" applyAlignment="1">
      <alignment horizontal="center" vertical="center"/>
    </xf>
    <xf numFmtId="16" fontId="10" fillId="0" borderId="1" xfId="0" applyNumberFormat="1" applyFont="1" applyBorder="1" applyAlignment="1">
      <alignment horizontal="center" vertical="center"/>
    </xf>
    <xf numFmtId="0" fontId="10" fillId="0" borderId="6" xfId="0" applyFont="1" applyBorder="1" applyAlignment="1">
      <alignment horizontal="center" vertical="center"/>
    </xf>
    <xf numFmtId="165" fontId="0" fillId="5" borderId="26" xfId="0" applyNumberFormat="1" applyFill="1" applyBorder="1" applyAlignment="1">
      <alignment horizontal="center" vertical="center"/>
    </xf>
    <xf numFmtId="0" fontId="0" fillId="5" borderId="16" xfId="0" applyFill="1" applyBorder="1" applyAlignment="1">
      <alignment horizontal="center" vertical="center"/>
    </xf>
    <xf numFmtId="0" fontId="16" fillId="5" borderId="16" xfId="0" applyFont="1" applyFill="1" applyBorder="1" applyAlignment="1">
      <alignment horizontal="center" vertical="center"/>
    </xf>
    <xf numFmtId="165" fontId="0" fillId="0" borderId="0" xfId="0" applyNumberFormat="1" applyBorder="1" applyAlignment="1">
      <alignment horizontal="center" vertical="center"/>
    </xf>
    <xf numFmtId="165" fontId="16" fillId="0" borderId="0" xfId="0" applyNumberFormat="1" applyFont="1" applyBorder="1" applyAlignment="1">
      <alignment horizontal="center" vertical="center"/>
    </xf>
    <xf numFmtId="165" fontId="18" fillId="2" borderId="0" xfId="0" applyNumberFormat="1" applyFont="1" applyFill="1" applyBorder="1" applyAlignment="1">
      <alignment horizontal="center" vertical="center"/>
    </xf>
    <xf numFmtId="166" fontId="10" fillId="0" borderId="0" xfId="0" applyNumberFormat="1" applyFont="1" applyBorder="1" applyAlignment="1">
      <alignment horizontal="center" vertical="center"/>
    </xf>
    <xf numFmtId="0" fontId="25" fillId="0" borderId="0" xfId="0" applyFont="1" applyAlignment="1">
      <alignment horizontal="center" vertical="center"/>
    </xf>
    <xf numFmtId="0" fontId="26" fillId="4" borderId="1" xfId="0" applyFont="1" applyFill="1" applyBorder="1" applyAlignment="1">
      <alignment horizontal="center" vertical="center"/>
    </xf>
    <xf numFmtId="0" fontId="27" fillId="0" borderId="1" xfId="0" applyFont="1" applyBorder="1" applyAlignment="1">
      <alignment horizontal="center" vertical="center"/>
    </xf>
    <xf numFmtId="0" fontId="28" fillId="0" borderId="1" xfId="0" applyFont="1" applyBorder="1" applyAlignment="1">
      <alignment horizontal="center" vertical="center"/>
    </xf>
    <xf numFmtId="0" fontId="29" fillId="0" borderId="1" xfId="0" applyFont="1" applyBorder="1" applyAlignment="1">
      <alignment horizontal="center" vertical="center"/>
    </xf>
    <xf numFmtId="9" fontId="29" fillId="0" borderId="1" xfId="1" applyFont="1" applyBorder="1" applyAlignment="1">
      <alignment horizontal="center" vertical="center"/>
    </xf>
    <xf numFmtId="0" fontId="25" fillId="0" borderId="1" xfId="0" applyFont="1" applyBorder="1" applyAlignment="1">
      <alignment horizontal="center" vertical="center"/>
    </xf>
    <xf numFmtId="9" fontId="25" fillId="0" borderId="1" xfId="1" applyFont="1" applyBorder="1" applyAlignment="1">
      <alignment horizontal="center" vertical="center"/>
    </xf>
    <xf numFmtId="0" fontId="0" fillId="5" borderId="1" xfId="0" applyFill="1" applyBorder="1" applyAlignment="1">
      <alignment horizontal="center" vertical="center"/>
    </xf>
    <xf numFmtId="0" fontId="0" fillId="5" borderId="26" xfId="0" applyFill="1" applyBorder="1" applyAlignment="1">
      <alignment horizontal="center" vertical="center"/>
    </xf>
    <xf numFmtId="0" fontId="0" fillId="5" borderId="18" xfId="0" applyFill="1" applyBorder="1" applyAlignment="1">
      <alignment horizontal="center" vertical="center"/>
    </xf>
    <xf numFmtId="165" fontId="16" fillId="0" borderId="27" xfId="0" applyNumberFormat="1" applyFont="1" applyBorder="1" applyAlignment="1">
      <alignment horizontal="center" vertical="center"/>
    </xf>
    <xf numFmtId="165" fontId="32" fillId="5" borderId="26" xfId="0" applyNumberFormat="1" applyFont="1" applyFill="1" applyBorder="1" applyAlignment="1">
      <alignment horizontal="center" vertical="center"/>
    </xf>
    <xf numFmtId="0" fontId="32" fillId="5" borderId="16" xfId="0" applyFont="1" applyFill="1" applyBorder="1" applyAlignment="1">
      <alignment horizontal="center" vertical="center"/>
    </xf>
    <xf numFmtId="164" fontId="32" fillId="5" borderId="18" xfId="0" applyNumberFormat="1" applyFont="1" applyFill="1" applyBorder="1" applyAlignment="1">
      <alignment horizontal="center" vertical="center"/>
    </xf>
    <xf numFmtId="0" fontId="32" fillId="5" borderId="18" xfId="0" applyFont="1" applyFill="1" applyBorder="1" applyAlignment="1">
      <alignment horizontal="center" vertical="center"/>
    </xf>
    <xf numFmtId="165" fontId="18" fillId="5" borderId="1" xfId="0" applyNumberFormat="1" applyFont="1" applyFill="1" applyBorder="1" applyAlignment="1">
      <alignment horizontal="center" vertical="center"/>
    </xf>
    <xf numFmtId="0" fontId="0" fillId="6" borderId="26" xfId="0" applyFill="1" applyBorder="1" applyAlignment="1">
      <alignment horizontal="center" vertical="center"/>
    </xf>
    <xf numFmtId="0" fontId="0" fillId="6" borderId="16" xfId="0" applyFill="1" applyBorder="1" applyAlignment="1">
      <alignment horizontal="center" vertical="center"/>
    </xf>
    <xf numFmtId="165" fontId="18" fillId="5" borderId="16" xfId="0" applyNumberFormat="1" applyFont="1" applyFill="1" applyBorder="1" applyAlignment="1">
      <alignment horizontal="center" vertical="center"/>
    </xf>
    <xf numFmtId="2" fontId="31" fillId="0" borderId="0" xfId="0" applyNumberFormat="1" applyFont="1" applyBorder="1" applyAlignment="1">
      <alignment horizontal="center" vertical="center"/>
    </xf>
    <xf numFmtId="0" fontId="8"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1" xfId="0" applyFont="1" applyBorder="1" applyAlignment="1">
      <alignment horizontal="center" vertical="center"/>
    </xf>
    <xf numFmtId="0" fontId="8" fillId="0" borderId="1" xfId="0" applyFont="1" applyBorder="1" applyAlignment="1">
      <alignment horizontal="center" vertical="center"/>
    </xf>
    <xf numFmtId="166" fontId="8" fillId="0" borderId="1" xfId="0" applyNumberFormat="1" applyFont="1" applyBorder="1" applyAlignment="1">
      <alignment horizontal="center" vertical="center"/>
    </xf>
    <xf numFmtId="0" fontId="33" fillId="0" borderId="1" xfId="0" applyFont="1" applyBorder="1" applyAlignment="1">
      <alignment horizontal="center" vertical="center"/>
    </xf>
    <xf numFmtId="166" fontId="33" fillId="0" borderId="1" xfId="0" applyNumberFormat="1" applyFont="1" applyBorder="1" applyAlignment="1">
      <alignment horizontal="center" vertical="center"/>
    </xf>
    <xf numFmtId="0" fontId="8" fillId="7" borderId="1" xfId="0" applyFont="1" applyFill="1" applyBorder="1" applyAlignment="1">
      <alignment horizontal="center" vertical="center"/>
    </xf>
    <xf numFmtId="0" fontId="8" fillId="2" borderId="0" xfId="0" applyFont="1" applyFill="1" applyProtection="1"/>
    <xf numFmtId="0" fontId="8" fillId="2" borderId="0" xfId="0" applyFont="1" applyFill="1" applyAlignment="1" applyProtection="1">
      <alignment horizontal="center"/>
    </xf>
    <xf numFmtId="0" fontId="8" fillId="0" borderId="0" xfId="0" applyFont="1" applyProtection="1"/>
    <xf numFmtId="0" fontId="8" fillId="2" borderId="0" xfId="0" applyFont="1" applyFill="1" applyAlignment="1" applyProtection="1">
      <alignment vertical="center"/>
    </xf>
    <xf numFmtId="0" fontId="8" fillId="0" borderId="0" xfId="0" applyFont="1" applyAlignment="1" applyProtection="1">
      <alignment vertical="center"/>
    </xf>
    <xf numFmtId="0" fontId="8" fillId="2" borderId="0" xfId="0" applyFont="1" applyFill="1" applyBorder="1" applyProtection="1"/>
    <xf numFmtId="0" fontId="23" fillId="2" borderId="0" xfId="0" applyFont="1" applyFill="1" applyBorder="1" applyAlignment="1" applyProtection="1">
      <alignment horizontal="center"/>
    </xf>
    <xf numFmtId="0" fontId="8" fillId="0" borderId="0" xfId="0" applyFont="1" applyBorder="1" applyProtection="1"/>
    <xf numFmtId="0" fontId="34" fillId="2" borderId="0" xfId="0" applyFont="1" applyFill="1" applyBorder="1" applyAlignment="1" applyProtection="1">
      <alignment vertical="center" wrapText="1"/>
    </xf>
    <xf numFmtId="0" fontId="8" fillId="0" borderId="0" xfId="0" applyFont="1" applyBorder="1" applyAlignment="1" applyProtection="1">
      <alignment vertical="center"/>
    </xf>
    <xf numFmtId="0" fontId="21" fillId="4" borderId="1"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35" fillId="4" borderId="1" xfId="0" applyFont="1" applyFill="1" applyBorder="1" applyAlignment="1" applyProtection="1">
      <alignment horizontal="center" vertical="center" wrapText="1"/>
    </xf>
    <xf numFmtId="167" fontId="23" fillId="7" borderId="1" xfId="0" applyNumberFormat="1" applyFont="1" applyFill="1" applyBorder="1" applyAlignment="1" applyProtection="1">
      <alignment horizontal="center" vertical="center"/>
    </xf>
    <xf numFmtId="0" fontId="10" fillId="5" borderId="1" xfId="0" applyFont="1" applyFill="1" applyBorder="1" applyAlignment="1">
      <alignment horizontal="center" vertical="center"/>
    </xf>
    <xf numFmtId="0" fontId="0" fillId="0" borderId="30" xfId="0" applyBorder="1" applyAlignment="1">
      <alignment horizontal="center" vertical="center"/>
    </xf>
    <xf numFmtId="0" fontId="16" fillId="0" borderId="30" xfId="0" applyFont="1" applyBorder="1" applyAlignment="1">
      <alignment horizontal="center" vertical="center"/>
    </xf>
    <xf numFmtId="164" fontId="0" fillId="0" borderId="30" xfId="0" applyNumberFormat="1" applyBorder="1" applyAlignment="1">
      <alignment horizontal="center" vertical="center"/>
    </xf>
    <xf numFmtId="165" fontId="18" fillId="3" borderId="30" xfId="0" applyNumberFormat="1" applyFont="1" applyFill="1" applyBorder="1" applyAlignment="1">
      <alignment horizontal="center" vertical="center"/>
    </xf>
    <xf numFmtId="165" fontId="18" fillId="3" borderId="31" xfId="0" applyNumberFormat="1" applyFont="1" applyFill="1" applyBorder="1" applyAlignment="1">
      <alignment horizontal="center" vertical="center"/>
    </xf>
    <xf numFmtId="0" fontId="37" fillId="0" borderId="0" xfId="0" applyFont="1" applyAlignment="1">
      <alignment horizontal="center" vertical="center"/>
    </xf>
    <xf numFmtId="0" fontId="31" fillId="0" borderId="1" xfId="0" applyFont="1" applyBorder="1" applyAlignment="1">
      <alignment horizontal="center" vertical="center"/>
    </xf>
    <xf numFmtId="0" fontId="37" fillId="0" borderId="1" xfId="0" applyFont="1" applyBorder="1" applyAlignment="1">
      <alignment horizontal="center" vertical="center"/>
    </xf>
    <xf numFmtId="0" fontId="37" fillId="0" borderId="18" xfId="0" applyFont="1" applyBorder="1" applyAlignment="1">
      <alignment horizontal="center" vertical="center"/>
    </xf>
    <xf numFmtId="0" fontId="38" fillId="0" borderId="0" xfId="0" applyFont="1" applyAlignment="1">
      <alignment horizontal="center" vertical="center"/>
    </xf>
    <xf numFmtId="0" fontId="30" fillId="0" borderId="1" xfId="0" applyFont="1" applyBorder="1" applyAlignment="1">
      <alignment horizontal="center" vertical="center"/>
    </xf>
    <xf numFmtId="0" fontId="38" fillId="0" borderId="26" xfId="0" applyFont="1" applyBorder="1" applyAlignment="1">
      <alignment horizontal="center" vertical="center"/>
    </xf>
    <xf numFmtId="0" fontId="38" fillId="0" borderId="16" xfId="0" applyFont="1" applyBorder="1" applyAlignment="1">
      <alignment horizontal="center" vertical="center"/>
    </xf>
    <xf numFmtId="165" fontId="39" fillId="3" borderId="16" xfId="0" applyNumberFormat="1" applyFont="1" applyFill="1" applyBorder="1" applyAlignment="1">
      <alignment horizontal="center" vertical="center"/>
    </xf>
    <xf numFmtId="2" fontId="30" fillId="0" borderId="0" xfId="0" applyNumberFormat="1" applyFont="1" applyBorder="1" applyAlignment="1">
      <alignment horizontal="center" vertical="center"/>
    </xf>
    <xf numFmtId="166" fontId="30" fillId="0" borderId="23" xfId="0" applyNumberFormat="1" applyFont="1" applyBorder="1" applyAlignment="1">
      <alignment horizontal="center" vertical="center"/>
    </xf>
    <xf numFmtId="166" fontId="30" fillId="0" borderId="25" xfId="0" applyNumberFormat="1" applyFont="1" applyBorder="1" applyAlignment="1">
      <alignment horizontal="center" vertical="center"/>
    </xf>
    <xf numFmtId="0" fontId="0" fillId="7" borderId="1" xfId="0" applyFill="1" applyBorder="1" applyAlignment="1">
      <alignment horizontal="center" vertical="center"/>
    </xf>
    <xf numFmtId="0" fontId="10" fillId="0" borderId="17" xfId="0" applyFont="1" applyBorder="1" applyAlignment="1">
      <alignment horizontal="center" vertical="center" wrapText="1"/>
    </xf>
    <xf numFmtId="0" fontId="10" fillId="2" borderId="1" xfId="0" applyFont="1" applyFill="1" applyBorder="1" applyAlignment="1">
      <alignment horizontal="center" vertical="center"/>
    </xf>
    <xf numFmtId="165" fontId="39" fillId="3" borderId="18" xfId="0" applyNumberFormat="1" applyFont="1" applyFill="1" applyBorder="1" applyAlignment="1">
      <alignment horizontal="center" vertical="center"/>
    </xf>
    <xf numFmtId="0" fontId="10" fillId="0" borderId="18" xfId="0" applyFont="1" applyBorder="1" applyAlignment="1">
      <alignment horizontal="center" vertical="center" wrapText="1"/>
    </xf>
    <xf numFmtId="0" fontId="35" fillId="4" borderId="29" xfId="0" applyFont="1" applyFill="1" applyBorder="1" applyAlignment="1" applyProtection="1">
      <alignment horizontal="center" vertical="center" wrapText="1"/>
    </xf>
    <xf numFmtId="3" fontId="8" fillId="0" borderId="28" xfId="0" applyNumberFormat="1" applyFont="1" applyBorder="1" applyAlignment="1">
      <alignment horizontal="center" vertical="center"/>
    </xf>
    <xf numFmtId="3" fontId="33" fillId="0" borderId="28" xfId="0" applyNumberFormat="1" applyFont="1" applyBorder="1" applyAlignment="1">
      <alignment horizontal="center" vertical="center"/>
    </xf>
    <xf numFmtId="3" fontId="33"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22" fillId="0" borderId="0" xfId="0" applyFont="1" applyAlignment="1" applyProtection="1">
      <alignment horizontal="left" vertical="center"/>
    </xf>
    <xf numFmtId="0" fontId="23" fillId="0" borderId="0" xfId="0" applyFont="1" applyAlignment="1" applyProtection="1">
      <alignment horizontal="center" vertical="center"/>
    </xf>
    <xf numFmtId="0" fontId="21" fillId="4" borderId="29" xfId="0" applyFont="1" applyFill="1" applyBorder="1" applyAlignment="1" applyProtection="1">
      <alignment horizontal="center" vertical="center"/>
    </xf>
    <xf numFmtId="0" fontId="21" fillId="4" borderId="1" xfId="0" applyFont="1" applyFill="1" applyBorder="1" applyAlignment="1" applyProtection="1">
      <alignment horizontal="center" vertical="center"/>
    </xf>
    <xf numFmtId="0" fontId="42" fillId="2" borderId="0" xfId="0" applyFont="1" applyFill="1" applyBorder="1" applyAlignment="1" applyProtection="1">
      <alignment vertical="center"/>
    </xf>
    <xf numFmtId="0" fontId="44" fillId="7" borderId="0" xfId="3" applyFont="1" applyFill="1" applyBorder="1" applyAlignment="1" applyProtection="1">
      <alignment vertical="center"/>
    </xf>
    <xf numFmtId="0" fontId="45" fillId="7" borderId="0" xfId="0" applyFont="1" applyFill="1" applyBorder="1" applyAlignment="1" applyProtection="1">
      <alignment horizontal="center" vertical="center"/>
    </xf>
    <xf numFmtId="0" fontId="41" fillId="2" borderId="0" xfId="0" applyFont="1" applyFill="1" applyAlignment="1">
      <alignment horizontal="center" vertical="center"/>
    </xf>
    <xf numFmtId="0" fontId="36" fillId="0" borderId="0" xfId="0" applyFont="1" applyProtection="1"/>
    <xf numFmtId="0" fontId="42" fillId="0" borderId="0" xfId="0" applyFont="1" applyBorder="1" applyAlignment="1" applyProtection="1">
      <alignment vertical="center"/>
    </xf>
    <xf numFmtId="0" fontId="46" fillId="2" borderId="0" xfId="0" applyFont="1" applyFill="1" applyBorder="1" applyAlignment="1" applyProtection="1">
      <alignment vertical="center"/>
    </xf>
    <xf numFmtId="0" fontId="45" fillId="7" borderId="0" xfId="0" applyFont="1" applyFill="1" applyBorder="1" applyAlignment="1" applyProtection="1">
      <alignment horizontal="left" vertical="center"/>
    </xf>
    <xf numFmtId="0" fontId="47" fillId="7" borderId="0" xfId="0" applyFont="1" applyFill="1" applyBorder="1" applyAlignment="1" applyProtection="1">
      <alignment horizontal="left" vertical="center" wrapText="1"/>
    </xf>
    <xf numFmtId="0" fontId="46" fillId="0" borderId="0" xfId="0" applyFont="1" applyBorder="1" applyAlignment="1" applyProtection="1">
      <alignment vertical="center"/>
    </xf>
    <xf numFmtId="0" fontId="45" fillId="7" borderId="0" xfId="0" applyFont="1" applyFill="1" applyBorder="1" applyAlignment="1" applyProtection="1">
      <alignment vertical="center"/>
    </xf>
    <xf numFmtId="0" fontId="47" fillId="7" borderId="0" xfId="0" applyFont="1" applyFill="1" applyBorder="1" applyAlignment="1" applyProtection="1">
      <alignment horizontal="center" vertical="center"/>
    </xf>
    <xf numFmtId="0" fontId="41" fillId="2" borderId="0" xfId="0" applyFont="1" applyFill="1" applyAlignment="1" applyProtection="1">
      <alignment horizontal="center" vertical="center"/>
    </xf>
    <xf numFmtId="0" fontId="41" fillId="2" borderId="0" xfId="0" applyFont="1" applyFill="1" applyProtection="1"/>
    <xf numFmtId="0" fontId="40" fillId="2" borderId="0" xfId="0" applyFont="1" applyFill="1" applyAlignment="1" applyProtection="1">
      <alignment horizontal="center"/>
    </xf>
    <xf numFmtId="0" fontId="41" fillId="2" borderId="0" xfId="0" applyFont="1" applyFill="1" applyAlignment="1" applyProtection="1">
      <alignment horizontal="center"/>
    </xf>
    <xf numFmtId="14" fontId="48" fillId="2" borderId="1" xfId="0" applyNumberFormat="1" applyFont="1" applyFill="1" applyBorder="1" applyAlignment="1" applyProtection="1">
      <alignment horizontal="center" vertical="center"/>
    </xf>
    <xf numFmtId="14" fontId="23" fillId="9" borderId="1" xfId="0" applyNumberFormat="1" applyFont="1" applyFill="1" applyBorder="1" applyAlignment="1" applyProtection="1">
      <alignment horizontal="center" vertical="center"/>
    </xf>
    <xf numFmtId="0" fontId="8" fillId="7" borderId="29" xfId="0" applyFont="1" applyFill="1" applyBorder="1" applyAlignment="1">
      <alignment horizontal="center" vertical="center"/>
    </xf>
    <xf numFmtId="0" fontId="23" fillId="7" borderId="28" xfId="0" applyFont="1" applyFill="1" applyBorder="1" applyAlignment="1">
      <alignment horizontal="center" vertical="center"/>
    </xf>
    <xf numFmtId="0" fontId="27" fillId="0" borderId="3" xfId="0" applyFont="1" applyBorder="1" applyAlignment="1">
      <alignment horizontal="center" vertical="center" wrapText="1"/>
    </xf>
    <xf numFmtId="0" fontId="27" fillId="0" borderId="3" xfId="0" applyFont="1" applyBorder="1" applyAlignment="1">
      <alignment horizontal="center" vertical="center"/>
    </xf>
    <xf numFmtId="0" fontId="27" fillId="0" borderId="16" xfId="0" applyFont="1" applyBorder="1" applyAlignment="1">
      <alignment horizontal="center" vertical="center" wrapText="1"/>
    </xf>
    <xf numFmtId="0" fontId="27" fillId="0" borderId="16"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165" fontId="25" fillId="0" borderId="1" xfId="0" applyNumberFormat="1" applyFont="1" applyBorder="1" applyAlignment="1">
      <alignment horizontal="center" vertical="center"/>
    </xf>
    <xf numFmtId="0" fontId="25" fillId="0" borderId="3" xfId="0" applyFont="1" applyBorder="1" applyAlignment="1">
      <alignment horizontal="center" vertical="center"/>
    </xf>
    <xf numFmtId="164" fontId="25" fillId="0" borderId="6" xfId="0" applyNumberFormat="1" applyFont="1" applyBorder="1" applyAlignment="1">
      <alignment horizontal="center" vertical="center"/>
    </xf>
    <xf numFmtId="1" fontId="25" fillId="0" borderId="6" xfId="0" applyNumberFormat="1" applyFont="1" applyBorder="1" applyAlignment="1">
      <alignment horizontal="center" vertical="center"/>
    </xf>
    <xf numFmtId="0" fontId="25"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22" xfId="0" applyFont="1" applyBorder="1" applyAlignment="1">
      <alignment horizontal="center" vertical="center"/>
    </xf>
    <xf numFmtId="0" fontId="25" fillId="0" borderId="14" xfId="0" applyFont="1" applyBorder="1" applyAlignment="1">
      <alignment horizontal="center" vertical="center"/>
    </xf>
    <xf numFmtId="0" fontId="27" fillId="0" borderId="13" xfId="0" applyFont="1" applyBorder="1" applyAlignment="1">
      <alignment horizontal="center" vertical="center"/>
    </xf>
    <xf numFmtId="0" fontId="27" fillId="0" borderId="24" xfId="0" applyFont="1" applyBorder="1" applyAlignment="1">
      <alignment horizontal="center" vertical="center"/>
    </xf>
    <xf numFmtId="166" fontId="25" fillId="0" borderId="14" xfId="0" applyNumberFormat="1" applyFont="1" applyBorder="1" applyAlignment="1">
      <alignment horizontal="center" vertical="center"/>
    </xf>
    <xf numFmtId="0" fontId="31" fillId="0" borderId="3" xfId="0" applyFont="1" applyBorder="1" applyAlignment="1">
      <alignment horizontal="center" vertical="center" wrapText="1"/>
    </xf>
    <xf numFmtId="0" fontId="31" fillId="0" borderId="16" xfId="0" applyFont="1" applyBorder="1" applyAlignment="1">
      <alignment horizontal="center" vertical="center" wrapText="1"/>
    </xf>
    <xf numFmtId="0" fontId="37" fillId="0" borderId="6" xfId="0" applyFont="1" applyBorder="1" applyAlignment="1">
      <alignment horizontal="center" vertical="center"/>
    </xf>
    <xf numFmtId="0" fontId="37" fillId="0" borderId="3" xfId="0" applyFont="1" applyBorder="1" applyAlignment="1">
      <alignment horizontal="center" vertical="center"/>
    </xf>
    <xf numFmtId="164" fontId="37" fillId="0" borderId="6" xfId="0" applyNumberFormat="1" applyFont="1" applyBorder="1" applyAlignment="1">
      <alignment horizontal="center" vertical="center"/>
    </xf>
    <xf numFmtId="0" fontId="37" fillId="0" borderId="8" xfId="0" applyFont="1" applyBorder="1" applyAlignment="1">
      <alignment horizontal="center" vertical="center"/>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22" xfId="0" applyFont="1" applyBorder="1" applyAlignment="1">
      <alignment horizontal="center" vertical="center"/>
    </xf>
    <xf numFmtId="0" fontId="37" fillId="0" borderId="14" xfId="0" applyFont="1" applyBorder="1" applyAlignment="1">
      <alignment horizontal="center" vertical="center"/>
    </xf>
    <xf numFmtId="0" fontId="31" fillId="0" borderId="13" xfId="0" applyFont="1" applyBorder="1" applyAlignment="1">
      <alignment horizontal="center" vertical="center"/>
    </xf>
    <xf numFmtId="0" fontId="31" fillId="0" borderId="24" xfId="0" applyFont="1" applyBorder="1" applyAlignment="1">
      <alignment horizontal="center" vertical="center"/>
    </xf>
    <xf numFmtId="165" fontId="37" fillId="10" borderId="18" xfId="0" applyNumberFormat="1" applyFont="1" applyFill="1" applyBorder="1" applyAlignment="1">
      <alignment horizontal="center" vertical="center"/>
    </xf>
    <xf numFmtId="0" fontId="37" fillId="10" borderId="1" xfId="0" applyFont="1" applyFill="1" applyBorder="1" applyAlignment="1">
      <alignment horizontal="center" vertical="center"/>
    </xf>
    <xf numFmtId="0" fontId="37" fillId="10" borderId="6" xfId="0" applyFont="1" applyFill="1" applyBorder="1" applyAlignment="1">
      <alignment horizontal="center" vertical="center"/>
    </xf>
    <xf numFmtId="0" fontId="10" fillId="10" borderId="18" xfId="0" applyFont="1" applyFill="1" applyBorder="1" applyAlignment="1">
      <alignment horizontal="center" vertical="center"/>
    </xf>
    <xf numFmtId="0" fontId="10" fillId="10" borderId="1" xfId="0" applyFont="1" applyFill="1" applyBorder="1" applyAlignment="1">
      <alignment horizontal="center" vertical="center"/>
    </xf>
    <xf numFmtId="0" fontId="10" fillId="10" borderId="6" xfId="0" applyFont="1" applyFill="1" applyBorder="1" applyAlignment="1">
      <alignment horizontal="center" vertical="center"/>
    </xf>
    <xf numFmtId="0" fontId="10" fillId="8" borderId="2" xfId="0" applyFont="1" applyFill="1" applyBorder="1" applyAlignment="1">
      <alignment horizontal="center" vertical="center" wrapText="1"/>
    </xf>
    <xf numFmtId="0" fontId="0" fillId="8" borderId="3" xfId="0" applyFill="1" applyBorder="1" applyAlignment="1">
      <alignment horizontal="center" vertical="center"/>
    </xf>
    <xf numFmtId="0" fontId="11" fillId="8" borderId="19" xfId="0" applyFont="1" applyFill="1" applyBorder="1" applyAlignment="1">
      <alignment horizontal="left" vertical="center"/>
    </xf>
    <xf numFmtId="0" fontId="0" fillId="8" borderId="1" xfId="0" applyFill="1" applyBorder="1" applyAlignment="1">
      <alignment horizontal="center" vertical="center"/>
    </xf>
    <xf numFmtId="0" fontId="0" fillId="8" borderId="0" xfId="0" applyFill="1" applyAlignment="1">
      <alignment horizontal="center" vertical="center"/>
    </xf>
    <xf numFmtId="0" fontId="0" fillId="8" borderId="20" xfId="0" applyFill="1" applyBorder="1" applyAlignment="1">
      <alignment horizontal="center" vertical="center"/>
    </xf>
    <xf numFmtId="0" fontId="10" fillId="8" borderId="18" xfId="0" applyFont="1" applyFill="1" applyBorder="1" applyAlignment="1">
      <alignment horizontal="center" vertical="center" wrapText="1"/>
    </xf>
    <xf numFmtId="2" fontId="38" fillId="0" borderId="1" xfId="0" applyNumberFormat="1" applyFont="1" applyBorder="1" applyAlignment="1">
      <alignment horizontal="center" vertical="center"/>
    </xf>
    <xf numFmtId="2" fontId="38" fillId="2" borderId="26" xfId="0" applyNumberFormat="1" applyFont="1" applyFill="1" applyBorder="1" applyAlignment="1">
      <alignment horizontal="center" vertical="center"/>
    </xf>
    <xf numFmtId="2" fontId="38" fillId="2" borderId="16" xfId="0" applyNumberFormat="1" applyFont="1" applyFill="1" applyBorder="1" applyAlignment="1">
      <alignment horizontal="center" vertical="center"/>
    </xf>
    <xf numFmtId="2" fontId="38" fillId="2" borderId="18" xfId="0" applyNumberFormat="1" applyFont="1" applyFill="1" applyBorder="1" applyAlignment="1">
      <alignment horizontal="center" vertical="center"/>
    </xf>
    <xf numFmtId="166" fontId="52" fillId="0" borderId="25" xfId="0" applyNumberFormat="1" applyFont="1" applyBorder="1" applyAlignment="1">
      <alignment horizontal="center" vertical="center"/>
    </xf>
    <xf numFmtId="0" fontId="24" fillId="0" borderId="24" xfId="0" applyFont="1" applyBorder="1" applyAlignment="1">
      <alignment horizontal="center" vertical="center"/>
    </xf>
    <xf numFmtId="0" fontId="34" fillId="2" borderId="0" xfId="0" applyFont="1" applyFill="1" applyBorder="1" applyAlignment="1" applyProtection="1">
      <alignment horizontal="left" wrapText="1"/>
    </xf>
    <xf numFmtId="0" fontId="34" fillId="2" borderId="0" xfId="0" applyFont="1" applyFill="1" applyBorder="1" applyAlignment="1" applyProtection="1">
      <alignment horizontal="left" vertical="top" wrapText="1"/>
    </xf>
    <xf numFmtId="165" fontId="39" fillId="3" borderId="16" xfId="0" applyNumberFormat="1" applyFont="1" applyFill="1" applyBorder="1" applyAlignment="1">
      <alignment horizontal="center" vertical="center"/>
    </xf>
    <xf numFmtId="165" fontId="39" fillId="3" borderId="18" xfId="0" applyNumberFormat="1" applyFont="1" applyFill="1" applyBorder="1" applyAlignment="1">
      <alignment horizontal="center" vertical="center"/>
    </xf>
    <xf numFmtId="0" fontId="38" fillId="11" borderId="18" xfId="0" applyFont="1" applyFill="1" applyBorder="1" applyAlignment="1">
      <alignment horizontal="center" vertical="center"/>
    </xf>
    <xf numFmtId="2" fontId="38" fillId="11" borderId="26" xfId="0" applyNumberFormat="1" applyFont="1" applyFill="1" applyBorder="1" applyAlignment="1">
      <alignment horizontal="center" vertical="center"/>
    </xf>
    <xf numFmtId="2" fontId="38" fillId="11" borderId="26" xfId="0" applyNumberFormat="1" applyFont="1" applyFill="1" applyBorder="1" applyAlignment="1">
      <alignment vertical="center"/>
    </xf>
    <xf numFmtId="2" fontId="38" fillId="11" borderId="16" xfId="0" applyNumberFormat="1" applyFont="1" applyFill="1" applyBorder="1" applyAlignment="1">
      <alignment horizontal="center" vertical="center"/>
    </xf>
    <xf numFmtId="2" fontId="38" fillId="11" borderId="16" xfId="0" applyNumberFormat="1" applyFont="1" applyFill="1" applyBorder="1" applyAlignment="1">
      <alignment vertical="center"/>
    </xf>
    <xf numFmtId="0" fontId="11" fillId="8" borderId="4" xfId="0" applyFont="1" applyFill="1" applyBorder="1" applyAlignment="1">
      <alignment horizontal="left"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10" fillId="12" borderId="2" xfId="0" applyFont="1" applyFill="1" applyBorder="1" applyAlignment="1">
      <alignment horizontal="center" vertical="center" wrapText="1"/>
    </xf>
    <xf numFmtId="0" fontId="20" fillId="12" borderId="3" xfId="0" applyFont="1" applyFill="1" applyBorder="1" applyAlignment="1">
      <alignment horizontal="center" vertical="center"/>
    </xf>
    <xf numFmtId="0" fontId="11" fillId="12" borderId="4" xfId="0" applyFont="1" applyFill="1" applyBorder="1" applyAlignment="1">
      <alignment horizontal="left" vertical="center"/>
    </xf>
    <xf numFmtId="0" fontId="0" fillId="12" borderId="1" xfId="0" applyFill="1" applyBorder="1" applyAlignment="1">
      <alignment horizontal="center" vertical="center"/>
    </xf>
    <xf numFmtId="0" fontId="0" fillId="12" borderId="6" xfId="0" applyFill="1" applyBorder="1" applyAlignment="1">
      <alignment horizontal="center" vertical="center"/>
    </xf>
    <xf numFmtId="0" fontId="53" fillId="8" borderId="2" xfId="0" applyFont="1" applyFill="1" applyBorder="1" applyAlignment="1">
      <alignment horizontal="center" vertical="center" wrapText="1"/>
    </xf>
    <xf numFmtId="0" fontId="20" fillId="12" borderId="5" xfId="0" applyFont="1" applyFill="1" applyBorder="1" applyAlignment="1">
      <alignment horizontal="center" vertical="center"/>
    </xf>
    <xf numFmtId="167" fontId="7" fillId="7" borderId="1" xfId="0" applyNumberFormat="1" applyFont="1" applyFill="1" applyBorder="1" applyAlignment="1" applyProtection="1">
      <alignment horizontal="center" vertical="center"/>
    </xf>
    <xf numFmtId="0" fontId="34" fillId="2" borderId="0" xfId="0" applyFont="1" applyFill="1" applyBorder="1" applyAlignment="1" applyProtection="1">
      <alignment horizontal="left" vertical="top" wrapText="1"/>
    </xf>
    <xf numFmtId="0" fontId="10" fillId="0" borderId="0" xfId="0" applyFont="1"/>
    <xf numFmtId="0" fontId="10" fillId="0" borderId="0" xfId="0" applyFont="1" applyAlignment="1">
      <alignment wrapText="1"/>
    </xf>
    <xf numFmtId="0" fontId="0" fillId="0" borderId="0" xfId="0" applyAlignment="1">
      <alignment horizontal="center"/>
    </xf>
    <xf numFmtId="0" fontId="32" fillId="0" borderId="0" xfId="0" applyFont="1" applyAlignment="1">
      <alignment horizontal="center" vertical="center"/>
    </xf>
    <xf numFmtId="0" fontId="32" fillId="0" borderId="1" xfId="0" applyFont="1" applyBorder="1" applyAlignment="1">
      <alignment horizontal="center" vertical="center"/>
    </xf>
    <xf numFmtId="166" fontId="0" fillId="0" borderId="1" xfId="0" applyNumberFormat="1" applyBorder="1" applyAlignment="1">
      <alignment horizontal="center" vertical="center"/>
    </xf>
    <xf numFmtId="0" fontId="53" fillId="0" borderId="1" xfId="0" applyFont="1" applyBorder="1" applyAlignment="1">
      <alignment horizontal="center" vertical="center"/>
    </xf>
    <xf numFmtId="166" fontId="32" fillId="0" borderId="1" xfId="0" applyNumberFormat="1" applyFont="1" applyBorder="1" applyAlignment="1">
      <alignment horizontal="center" vertical="center"/>
    </xf>
    <xf numFmtId="0" fontId="10" fillId="13" borderId="1" xfId="0" applyFont="1" applyFill="1" applyBorder="1" applyAlignment="1">
      <alignment horizontal="center" vertical="center" wrapText="1"/>
    </xf>
    <xf numFmtId="2" fontId="10" fillId="13" borderId="1" xfId="0" applyNumberFormat="1" applyFont="1" applyFill="1" applyBorder="1" applyAlignment="1">
      <alignment horizontal="center" vertical="center"/>
    </xf>
    <xf numFmtId="166" fontId="10" fillId="13" borderId="1" xfId="0" applyNumberFormat="1" applyFont="1" applyFill="1" applyBorder="1" applyAlignment="1">
      <alignment horizontal="center" vertical="center"/>
    </xf>
    <xf numFmtId="1" fontId="10" fillId="13" borderId="1" xfId="0" applyNumberFormat="1" applyFont="1" applyFill="1" applyBorder="1" applyAlignment="1">
      <alignment horizontal="center" vertical="center"/>
    </xf>
    <xf numFmtId="0" fontId="10" fillId="7" borderId="0" xfId="0" applyFont="1" applyFill="1"/>
    <xf numFmtId="0" fontId="0" fillId="7" borderId="0" xfId="0" applyFont="1" applyFill="1"/>
    <xf numFmtId="0" fontId="54" fillId="4" borderId="1" xfId="0" applyFont="1" applyFill="1" applyBorder="1" applyAlignment="1">
      <alignment horizontal="center" vertical="center" wrapText="1"/>
    </xf>
    <xf numFmtId="2" fontId="0" fillId="5"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1" fontId="32" fillId="2" borderId="1" xfId="0" applyNumberFormat="1" applyFont="1" applyFill="1" applyBorder="1" applyAlignment="1">
      <alignment horizontal="center" vertical="center"/>
    </xf>
    <xf numFmtId="1" fontId="0" fillId="2" borderId="1" xfId="0" applyNumberFormat="1" applyFont="1" applyFill="1" applyBorder="1" applyAlignment="1">
      <alignment horizontal="center" vertical="center"/>
    </xf>
    <xf numFmtId="166" fontId="0" fillId="5" borderId="1" xfId="0" applyNumberFormat="1" applyFill="1" applyBorder="1" applyAlignment="1">
      <alignment horizontal="center" vertical="center"/>
    </xf>
    <xf numFmtId="0" fontId="10" fillId="13" borderId="29" xfId="0" applyFont="1" applyFill="1" applyBorder="1" applyAlignment="1">
      <alignment vertical="center" wrapText="1"/>
    </xf>
    <xf numFmtId="0" fontId="10" fillId="13" borderId="28" xfId="0" applyFont="1" applyFill="1" applyBorder="1" applyAlignment="1">
      <alignment horizontal="center" vertical="center" wrapText="1"/>
    </xf>
    <xf numFmtId="0" fontId="8" fillId="2" borderId="0"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36" fillId="2" borderId="0" xfId="0" applyFont="1" applyFill="1" applyProtection="1"/>
    <xf numFmtId="166" fontId="8" fillId="5" borderId="1" xfId="0" applyNumberFormat="1" applyFont="1" applyFill="1" applyBorder="1" applyAlignment="1" applyProtection="1">
      <alignment horizontal="center" vertical="center"/>
    </xf>
    <xf numFmtId="0" fontId="22" fillId="0" borderId="0" xfId="0" applyFont="1" applyProtection="1"/>
    <xf numFmtId="0" fontId="22" fillId="2" borderId="0" xfId="0" applyFont="1" applyFill="1" applyProtection="1"/>
    <xf numFmtId="0" fontId="22" fillId="0" borderId="0" xfId="0" applyFont="1" applyBorder="1" applyProtection="1"/>
    <xf numFmtId="0" fontId="57" fillId="0" borderId="0" xfId="0" applyFont="1" applyProtection="1"/>
    <xf numFmtId="0" fontId="55" fillId="2" borderId="0" xfId="0" applyFont="1" applyFill="1" applyAlignment="1" applyProtection="1">
      <alignment horizontal="center" vertical="center"/>
    </xf>
    <xf numFmtId="0" fontId="55" fillId="2" borderId="0" xfId="0" applyFont="1" applyFill="1" applyAlignment="1" applyProtection="1">
      <alignment horizontal="center"/>
    </xf>
    <xf numFmtId="0" fontId="34" fillId="2" borderId="0" xfId="0" applyFont="1" applyFill="1" applyBorder="1" applyAlignment="1" applyProtection="1">
      <alignment wrapText="1"/>
    </xf>
    <xf numFmtId="0" fontId="58" fillId="0" borderId="0" xfId="0" applyFont="1" applyAlignment="1" applyProtection="1">
      <alignment horizontal="center" vertical="center"/>
    </xf>
    <xf numFmtId="0" fontId="59" fillId="0" borderId="0" xfId="0" applyFont="1" applyAlignment="1" applyProtection="1">
      <alignment horizontal="center" vertical="center" wrapText="1"/>
    </xf>
    <xf numFmtId="0" fontId="47" fillId="2" borderId="0" xfId="0" applyFont="1" applyFill="1" applyAlignment="1" applyProtection="1">
      <alignment horizontal="left" vertical="center"/>
    </xf>
    <xf numFmtId="1" fontId="8" fillId="0" borderId="0" xfId="0" applyNumberFormat="1" applyFont="1" applyBorder="1" applyProtection="1"/>
    <xf numFmtId="0" fontId="6" fillId="0" borderId="0" xfId="0" applyFont="1" applyBorder="1" applyAlignment="1" applyProtection="1">
      <alignment horizontal="right" vertical="center"/>
    </xf>
    <xf numFmtId="0" fontId="23" fillId="0" borderId="0" xfId="0" applyFont="1" applyBorder="1" applyAlignment="1" applyProtection="1">
      <alignment horizontal="center" vertical="center"/>
    </xf>
    <xf numFmtId="165" fontId="39" fillId="3" borderId="13" xfId="0" applyNumberFormat="1" applyFont="1" applyFill="1" applyBorder="1" applyAlignment="1">
      <alignment horizontal="center" vertical="center"/>
    </xf>
    <xf numFmtId="0" fontId="0" fillId="0" borderId="0" xfId="0" applyAlignment="1">
      <alignment horizontal="right"/>
    </xf>
    <xf numFmtId="166" fontId="56" fillId="0" borderId="0" xfId="0" applyNumberFormat="1" applyFont="1" applyAlignment="1" applyProtection="1">
      <alignment horizontal="center" vertical="center"/>
    </xf>
    <xf numFmtId="0" fontId="61" fillId="14" borderId="0" xfId="0" applyFont="1" applyFill="1" applyBorder="1" applyAlignment="1" applyProtection="1">
      <alignment horizontal="center" vertical="center" wrapText="1"/>
    </xf>
    <xf numFmtId="1" fontId="40" fillId="0" borderId="0" xfId="0" applyNumberFormat="1" applyFont="1" applyBorder="1" applyAlignment="1" applyProtection="1">
      <alignment horizontal="center" vertical="center"/>
    </xf>
    <xf numFmtId="170" fontId="23" fillId="0" borderId="1" xfId="2" applyNumberFormat="1" applyFont="1" applyBorder="1" applyAlignment="1" applyProtection="1">
      <alignment horizontal="center" vertical="center"/>
    </xf>
    <xf numFmtId="0" fontId="36" fillId="0" borderId="0" xfId="0" applyFont="1" applyAlignment="1" applyProtection="1">
      <alignment horizontal="left" vertical="center"/>
    </xf>
    <xf numFmtId="0" fontId="40" fillId="0" borderId="0" xfId="0" applyFont="1" applyAlignment="1" applyProtection="1">
      <alignment horizontal="center" vertical="center"/>
    </xf>
    <xf numFmtId="0" fontId="23" fillId="14" borderId="1" xfId="0" applyFont="1" applyFill="1" applyBorder="1" applyAlignment="1" applyProtection="1">
      <alignment horizontal="center" vertical="center" wrapText="1"/>
    </xf>
    <xf numFmtId="168" fontId="7" fillId="0" borderId="1" xfId="2" applyNumberFormat="1" applyFont="1" applyBorder="1" applyAlignment="1" applyProtection="1">
      <alignment horizontal="center" vertical="center"/>
    </xf>
    <xf numFmtId="168" fontId="7" fillId="5" borderId="1" xfId="2" applyNumberFormat="1" applyFont="1" applyFill="1" applyBorder="1" applyAlignment="1" applyProtection="1">
      <alignment horizontal="center" vertical="center"/>
    </xf>
    <xf numFmtId="168" fontId="62" fillId="5" borderId="1" xfId="2" applyNumberFormat="1" applyFont="1" applyFill="1" applyBorder="1" applyAlignment="1" applyProtection="1">
      <alignment horizontal="center" vertical="center"/>
    </xf>
    <xf numFmtId="0" fontId="41" fillId="0" borderId="0" xfId="0" applyFont="1" applyProtection="1"/>
    <xf numFmtId="1" fontId="41" fillId="0" borderId="1" xfId="0" applyNumberFormat="1" applyFont="1" applyBorder="1" applyAlignment="1" applyProtection="1">
      <alignment horizontal="center" vertical="center"/>
    </xf>
    <xf numFmtId="1" fontId="55" fillId="0" borderId="1" xfId="0" applyNumberFormat="1" applyFont="1" applyBorder="1" applyAlignment="1" applyProtection="1">
      <alignment horizontal="center" vertical="center"/>
    </xf>
    <xf numFmtId="168" fontId="58" fillId="0" borderId="34" xfId="2" applyNumberFormat="1" applyFont="1" applyBorder="1" applyAlignment="1" applyProtection="1">
      <alignment horizontal="center" vertical="center"/>
    </xf>
    <xf numFmtId="0" fontId="8" fillId="9" borderId="1" xfId="0" applyFont="1" applyFill="1" applyBorder="1" applyAlignment="1" applyProtection="1">
      <alignment horizontal="center" vertical="center"/>
      <protection locked="0"/>
    </xf>
    <xf numFmtId="171" fontId="60" fillId="2" borderId="0" xfId="0" applyNumberFormat="1" applyFont="1" applyFill="1" applyAlignment="1" applyProtection="1">
      <alignment horizontal="left" vertical="center"/>
    </xf>
    <xf numFmtId="1" fontId="62" fillId="0" borderId="1" xfId="0" applyNumberFormat="1" applyFont="1" applyBorder="1" applyAlignment="1" applyProtection="1">
      <alignment horizontal="center" vertical="center"/>
    </xf>
    <xf numFmtId="1" fontId="22" fillId="0" borderId="1" xfId="0" applyNumberFormat="1" applyFont="1" applyBorder="1" applyAlignment="1" applyProtection="1">
      <alignment horizontal="center" vertical="center"/>
    </xf>
    <xf numFmtId="1" fontId="6" fillId="0" borderId="1" xfId="0" applyNumberFormat="1" applyFont="1" applyBorder="1" applyAlignment="1" applyProtection="1">
      <alignment horizontal="center" vertical="center"/>
    </xf>
    <xf numFmtId="0" fontId="34" fillId="2" borderId="0" xfId="0" applyFont="1" applyFill="1" applyBorder="1" applyAlignment="1" applyProtection="1">
      <alignment horizontal="left" vertical="top" wrapText="1"/>
    </xf>
    <xf numFmtId="0" fontId="8" fillId="9" borderId="1" xfId="0" applyFont="1" applyFill="1" applyBorder="1" applyAlignment="1" applyProtection="1">
      <alignment horizontal="center" vertical="center"/>
      <protection locked="0"/>
    </xf>
    <xf numFmtId="165" fontId="39" fillId="3" borderId="16" xfId="0" applyNumberFormat="1" applyFont="1" applyFill="1" applyBorder="1" applyAlignment="1">
      <alignment horizontal="center" vertical="center"/>
    </xf>
    <xf numFmtId="0" fontId="10" fillId="13" borderId="28" xfId="0" applyFont="1" applyFill="1" applyBorder="1" applyAlignment="1">
      <alignment horizontal="center" vertical="center" wrapText="1"/>
    </xf>
    <xf numFmtId="165" fontId="39" fillId="8" borderId="1" xfId="0" applyNumberFormat="1" applyFont="1" applyFill="1" applyBorder="1" applyAlignment="1">
      <alignment horizontal="center" vertical="center"/>
    </xf>
    <xf numFmtId="2" fontId="38" fillId="2" borderId="0" xfId="0" applyNumberFormat="1" applyFont="1" applyFill="1" applyBorder="1" applyAlignment="1">
      <alignment horizontal="center" vertical="center"/>
    </xf>
    <xf numFmtId="2" fontId="38" fillId="12" borderId="0" xfId="0" applyNumberFormat="1" applyFont="1" applyFill="1" applyBorder="1" applyAlignment="1">
      <alignment horizontal="center" vertical="center"/>
    </xf>
    <xf numFmtId="165" fontId="39" fillId="3" borderId="0" xfId="0" applyNumberFormat="1" applyFont="1" applyFill="1" applyBorder="1" applyAlignment="1">
      <alignment horizontal="center" vertical="center"/>
    </xf>
    <xf numFmtId="166" fontId="52" fillId="0" borderId="0" xfId="0" applyNumberFormat="1" applyFont="1" applyBorder="1" applyAlignment="1">
      <alignment horizontal="center" vertical="center"/>
    </xf>
    <xf numFmtId="0" fontId="30" fillId="11" borderId="1" xfId="0" applyFont="1" applyFill="1" applyBorder="1" applyAlignment="1">
      <alignment horizontal="center" vertical="center"/>
    </xf>
    <xf numFmtId="0" fontId="10" fillId="11" borderId="3" xfId="0" applyFont="1" applyFill="1" applyBorder="1" applyAlignment="1">
      <alignment horizontal="center" vertical="center" wrapText="1"/>
    </xf>
    <xf numFmtId="0" fontId="10" fillId="11" borderId="18" xfId="0" applyFont="1" applyFill="1" applyBorder="1" applyAlignment="1">
      <alignment horizontal="center" vertical="center" wrapText="1"/>
    </xf>
    <xf numFmtId="0" fontId="57" fillId="0" borderId="0" xfId="0" applyFont="1" applyAlignment="1">
      <alignment horizontal="center" vertical="center"/>
    </xf>
    <xf numFmtId="2" fontId="38" fillId="2" borderId="1" xfId="0" applyNumberFormat="1" applyFont="1" applyFill="1" applyBorder="1" applyAlignment="1">
      <alignment horizontal="center" vertical="center"/>
    </xf>
    <xf numFmtId="0" fontId="20" fillId="8" borderId="5" xfId="0" applyFont="1" applyFill="1" applyBorder="1" applyAlignment="1">
      <alignment horizontal="center" vertical="center"/>
    </xf>
    <xf numFmtId="0" fontId="25" fillId="0" borderId="29" xfId="0" applyFont="1" applyBorder="1" applyAlignment="1">
      <alignment horizontal="center" vertical="center"/>
    </xf>
    <xf numFmtId="164" fontId="25" fillId="0" borderId="35" xfId="0" applyNumberFormat="1" applyFont="1" applyBorder="1" applyAlignment="1">
      <alignment horizontal="center" vertical="center"/>
    </xf>
    <xf numFmtId="165" fontId="39" fillId="8" borderId="26" xfId="0" applyNumberFormat="1" applyFont="1" applyFill="1" applyBorder="1" applyAlignment="1">
      <alignment horizontal="center" vertical="center"/>
    </xf>
    <xf numFmtId="1" fontId="64" fillId="0" borderId="1" xfId="0" applyNumberFormat="1" applyFont="1" applyBorder="1" applyAlignment="1" applyProtection="1">
      <alignment horizontal="center" vertical="center"/>
    </xf>
    <xf numFmtId="0" fontId="23" fillId="0" borderId="0" xfId="0" applyFont="1" applyAlignment="1">
      <alignment horizontal="left" vertical="center" wrapText="1"/>
    </xf>
    <xf numFmtId="0" fontId="22" fillId="0" borderId="0" xfId="0" applyFont="1" applyBorder="1" applyAlignment="1" applyProtection="1">
      <alignment horizontal="center"/>
    </xf>
    <xf numFmtId="0" fontId="22" fillId="0" borderId="0" xfId="0" applyFont="1" applyBorder="1" applyAlignment="1" applyProtection="1">
      <alignment horizontal="center" wrapText="1"/>
    </xf>
    <xf numFmtId="0" fontId="63" fillId="0" borderId="0" xfId="0" applyFont="1" applyBorder="1" applyAlignment="1" applyProtection="1">
      <alignment horizontal="center" wrapText="1"/>
    </xf>
    <xf numFmtId="165" fontId="38" fillId="8" borderId="1" xfId="0" applyNumberFormat="1" applyFont="1" applyFill="1" applyBorder="1" applyAlignment="1">
      <alignment horizontal="center" vertical="center"/>
    </xf>
    <xf numFmtId="0" fontId="56" fillId="14" borderId="1" xfId="0" applyFont="1" applyFill="1" applyBorder="1" applyAlignment="1" applyProtection="1">
      <alignment horizontal="center" vertical="center" wrapText="1"/>
    </xf>
    <xf numFmtId="0" fontId="22" fillId="0" borderId="0" xfId="0" applyFont="1" applyAlignment="1">
      <alignment horizontal="center" vertical="center"/>
    </xf>
    <xf numFmtId="0" fontId="56" fillId="11" borderId="0" xfId="0" applyFont="1" applyFill="1" applyAlignment="1">
      <alignment horizontal="center" vertical="center"/>
    </xf>
    <xf numFmtId="0" fontId="65" fillId="11" borderId="0" xfId="0" applyFont="1" applyFill="1" applyBorder="1" applyAlignment="1" applyProtection="1">
      <alignment horizontal="center" vertical="center" wrapText="1"/>
    </xf>
    <xf numFmtId="173" fontId="23" fillId="0" borderId="1" xfId="2" applyNumberFormat="1" applyFont="1" applyBorder="1" applyAlignment="1" applyProtection="1">
      <alignment horizontal="center" vertical="center" wrapText="1"/>
      <protection locked="0"/>
    </xf>
    <xf numFmtId="0" fontId="8" fillId="9" borderId="1" xfId="0" applyFont="1" applyFill="1" applyBorder="1" applyAlignment="1" applyProtection="1">
      <alignment horizontal="center" vertical="center"/>
      <protection locked="0"/>
    </xf>
    <xf numFmtId="0" fontId="23" fillId="0" borderId="0" xfId="0" applyFont="1" applyAlignment="1" applyProtection="1">
      <alignment horizontal="center"/>
    </xf>
    <xf numFmtId="0" fontId="23" fillId="2" borderId="0" xfId="0" applyFont="1" applyFill="1" applyAlignment="1" applyProtection="1">
      <alignment horizontal="center"/>
    </xf>
    <xf numFmtId="174" fontId="21" fillId="15" borderId="1" xfId="2" applyNumberFormat="1" applyFont="1" applyFill="1" applyBorder="1" applyAlignment="1" applyProtection="1">
      <alignment horizontal="center" vertical="center"/>
    </xf>
    <xf numFmtId="0" fontId="67" fillId="2" borderId="0" xfId="0" applyFont="1" applyFill="1" applyAlignment="1" applyProtection="1">
      <alignment horizontal="center" wrapText="1"/>
    </xf>
    <xf numFmtId="0" fontId="67" fillId="0" borderId="0" xfId="0" applyFont="1" applyAlignment="1" applyProtection="1">
      <alignment horizontal="center" vertical="center" wrapText="1"/>
    </xf>
    <xf numFmtId="1" fontId="4" fillId="0" borderId="1" xfId="0" applyNumberFormat="1" applyFont="1" applyBorder="1" applyAlignment="1" applyProtection="1">
      <alignment horizontal="center" vertical="center"/>
    </xf>
    <xf numFmtId="168" fontId="58" fillId="0" borderId="34" xfId="2" applyNumberFormat="1" applyFont="1" applyBorder="1" applyAlignment="1" applyProtection="1">
      <alignment horizontal="center" vertical="center"/>
    </xf>
    <xf numFmtId="0" fontId="68" fillId="0" borderId="0" xfId="0" applyFont="1" applyAlignment="1" applyProtection="1">
      <alignment horizontal="left" vertical="center"/>
    </xf>
    <xf numFmtId="0" fontId="69" fillId="0" borderId="0" xfId="0" applyFont="1" applyAlignment="1" applyProtection="1">
      <alignment horizontal="center" vertical="center"/>
    </xf>
    <xf numFmtId="0" fontId="68" fillId="0" borderId="0" xfId="0" applyFont="1" applyAlignment="1" applyProtection="1">
      <alignment horizontal="center" vertical="center"/>
    </xf>
    <xf numFmtId="0" fontId="68" fillId="0" borderId="0" xfId="0" applyFont="1" applyAlignment="1" applyProtection="1">
      <alignment vertical="center"/>
    </xf>
    <xf numFmtId="0" fontId="45" fillId="0" borderId="0" xfId="0" applyFont="1" applyAlignment="1" applyProtection="1">
      <alignment horizontal="left" vertical="center"/>
    </xf>
    <xf numFmtId="0" fontId="22" fillId="0" borderId="0" xfId="0" applyFont="1" applyAlignment="1" applyProtection="1">
      <alignment horizontal="center" vertical="center"/>
    </xf>
    <xf numFmtId="168" fontId="58" fillId="0" borderId="0" xfId="2" applyNumberFormat="1" applyFont="1" applyBorder="1" applyAlignment="1" applyProtection="1">
      <alignment horizontal="center" vertical="center"/>
    </xf>
    <xf numFmtId="0" fontId="10" fillId="4" borderId="2" xfId="0" applyFont="1" applyFill="1" applyBorder="1" applyAlignment="1">
      <alignment horizontal="center" vertical="center" wrapText="1"/>
    </xf>
    <xf numFmtId="0" fontId="20" fillId="4" borderId="3" xfId="0" applyFont="1" applyFill="1" applyBorder="1" applyAlignment="1">
      <alignment horizontal="center" vertical="center"/>
    </xf>
    <xf numFmtId="0" fontId="11" fillId="4" borderId="4" xfId="0" applyFont="1" applyFill="1" applyBorder="1" applyAlignment="1">
      <alignment horizontal="left" vertical="center"/>
    </xf>
    <xf numFmtId="0" fontId="0" fillId="4" borderId="1" xfId="0" applyFill="1" applyBorder="1" applyAlignment="1">
      <alignment horizontal="center" vertical="center"/>
    </xf>
    <xf numFmtId="0" fontId="20" fillId="4" borderId="5" xfId="0" applyFont="1" applyFill="1" applyBorder="1" applyAlignment="1">
      <alignment horizontal="center" vertical="center"/>
    </xf>
    <xf numFmtId="0" fontId="0" fillId="4" borderId="6" xfId="0" applyFill="1" applyBorder="1" applyAlignment="1">
      <alignment horizontal="center" vertical="center"/>
    </xf>
    <xf numFmtId="171" fontId="45" fillId="2" borderId="0" xfId="0" applyNumberFormat="1" applyFont="1" applyFill="1" applyAlignment="1" applyProtection="1">
      <alignment horizontal="center" vertical="center"/>
    </xf>
    <xf numFmtId="176" fontId="7" fillId="5" borderId="1" xfId="2" applyNumberFormat="1" applyFont="1" applyFill="1" applyBorder="1" applyAlignment="1" applyProtection="1">
      <alignment horizontal="center" vertical="center"/>
    </xf>
    <xf numFmtId="174" fontId="23" fillId="0" borderId="1" xfId="2" applyNumberFormat="1" applyFont="1" applyBorder="1" applyAlignment="1" applyProtection="1">
      <alignment horizontal="center" vertical="center"/>
    </xf>
    <xf numFmtId="0" fontId="41" fillId="0" borderId="1" xfId="0" applyFont="1" applyBorder="1" applyAlignment="1" applyProtection="1">
      <alignment horizontal="center" vertical="center"/>
    </xf>
    <xf numFmtId="0" fontId="41" fillId="7" borderId="1" xfId="0" applyFont="1" applyFill="1" applyBorder="1" applyAlignment="1" applyProtection="1">
      <alignment horizontal="center" vertical="center"/>
    </xf>
    <xf numFmtId="177" fontId="40" fillId="2" borderId="1" xfId="0" applyNumberFormat="1" applyFont="1" applyFill="1" applyBorder="1" applyAlignment="1" applyProtection="1">
      <alignment horizontal="center" vertical="center"/>
    </xf>
    <xf numFmtId="0" fontId="40" fillId="0" borderId="0" xfId="0" applyFont="1" applyAlignment="1" applyProtection="1">
      <alignment horizontal="left" vertical="center"/>
    </xf>
    <xf numFmtId="0" fontId="70" fillId="17" borderId="1" xfId="0" applyFont="1" applyFill="1" applyBorder="1" applyAlignment="1" applyProtection="1">
      <alignment horizontal="center" vertical="center"/>
    </xf>
    <xf numFmtId="179" fontId="40" fillId="2" borderId="1" xfId="0" applyNumberFormat="1" applyFont="1" applyFill="1" applyBorder="1" applyAlignment="1" applyProtection="1">
      <alignment horizontal="center" vertical="center"/>
    </xf>
    <xf numFmtId="180" fontId="40" fillId="2" borderId="1" xfId="0" applyNumberFormat="1" applyFont="1" applyFill="1" applyBorder="1" applyAlignment="1" applyProtection="1">
      <alignment horizontal="center" vertical="center"/>
    </xf>
    <xf numFmtId="0" fontId="41" fillId="16" borderId="32" xfId="0" applyFont="1" applyFill="1" applyBorder="1" applyProtection="1"/>
    <xf numFmtId="0" fontId="41" fillId="16" borderId="33" xfId="0" applyFont="1" applyFill="1" applyBorder="1" applyProtection="1"/>
    <xf numFmtId="168" fontId="67" fillId="5" borderId="1" xfId="2" applyNumberFormat="1" applyFont="1" applyFill="1" applyBorder="1" applyAlignment="1" applyProtection="1">
      <alignment horizontal="center" vertical="center"/>
    </xf>
    <xf numFmtId="0" fontId="70" fillId="16" borderId="1" xfId="0" applyFont="1" applyFill="1" applyBorder="1" applyAlignment="1" applyProtection="1">
      <alignment horizontal="center" vertical="center" wrapText="1"/>
    </xf>
    <xf numFmtId="178" fontId="40" fillId="7" borderId="1" xfId="0" applyNumberFormat="1" applyFont="1" applyFill="1" applyBorder="1" applyAlignment="1" applyProtection="1">
      <alignment horizontal="center" vertical="center"/>
    </xf>
    <xf numFmtId="0" fontId="70" fillId="18" borderId="1" xfId="0" applyFont="1" applyFill="1" applyBorder="1" applyAlignment="1" applyProtection="1">
      <alignment horizontal="center" vertical="center" wrapText="1"/>
    </xf>
    <xf numFmtId="0" fontId="41" fillId="18" borderId="27" xfId="0" applyFont="1" applyFill="1" applyBorder="1" applyProtection="1"/>
    <xf numFmtId="0" fontId="21" fillId="18" borderId="0" xfId="0" applyFont="1" applyFill="1" applyAlignment="1" applyProtection="1">
      <alignment horizontal="center" vertical="center"/>
    </xf>
    <xf numFmtId="0" fontId="41" fillId="18" borderId="31" xfId="0" applyFont="1" applyFill="1" applyBorder="1" applyProtection="1"/>
    <xf numFmtId="181" fontId="71" fillId="18" borderId="1" xfId="0" applyNumberFormat="1" applyFont="1" applyFill="1" applyBorder="1" applyAlignment="1" applyProtection="1">
      <alignment horizontal="center" vertical="center"/>
    </xf>
    <xf numFmtId="0" fontId="46" fillId="0" borderId="0" xfId="0" applyFont="1" applyBorder="1" applyAlignment="1" applyProtection="1">
      <alignment horizontal="center" vertical="center"/>
    </xf>
    <xf numFmtId="0" fontId="21" fillId="18" borderId="1" xfId="0" applyFont="1" applyFill="1" applyBorder="1" applyAlignment="1" applyProtection="1">
      <alignment horizontal="center" vertical="center"/>
    </xf>
    <xf numFmtId="0" fontId="8" fillId="0" borderId="29" xfId="0" applyFont="1" applyBorder="1" applyAlignment="1" applyProtection="1">
      <alignment horizontal="center" vertical="center"/>
    </xf>
    <xf numFmtId="0" fontId="21" fillId="18" borderId="29" xfId="0" applyFont="1" applyFill="1" applyBorder="1" applyAlignment="1" applyProtection="1">
      <alignment horizontal="center" vertical="center"/>
    </xf>
    <xf numFmtId="170" fontId="8" fillId="18" borderId="28" xfId="0" applyNumberFormat="1" applyFont="1" applyFill="1" applyBorder="1" applyAlignment="1" applyProtection="1">
      <alignment horizontal="center" vertical="center"/>
    </xf>
    <xf numFmtId="178" fontId="70" fillId="18" borderId="1" xfId="0" applyNumberFormat="1" applyFont="1" applyFill="1" applyBorder="1" applyAlignment="1" applyProtection="1">
      <alignment horizontal="center" vertical="center"/>
    </xf>
    <xf numFmtId="178" fontId="41" fillId="7" borderId="1" xfId="0" applyNumberFormat="1" applyFont="1" applyFill="1" applyBorder="1" applyAlignment="1" applyProtection="1">
      <alignment horizontal="center" vertical="center"/>
    </xf>
    <xf numFmtId="178" fontId="71" fillId="18" borderId="1" xfId="0" applyNumberFormat="1" applyFont="1" applyFill="1" applyBorder="1" applyAlignment="1" applyProtection="1">
      <alignment horizontal="center" vertical="center"/>
    </xf>
    <xf numFmtId="170" fontId="21" fillId="18" borderId="39" xfId="0" applyNumberFormat="1" applyFont="1" applyFill="1" applyBorder="1" applyAlignment="1" applyProtection="1">
      <alignment horizontal="center" vertical="center"/>
    </xf>
    <xf numFmtId="0" fontId="8" fillId="17" borderId="0" xfId="0" applyFont="1" applyFill="1" applyProtection="1"/>
    <xf numFmtId="0" fontId="8" fillId="17" borderId="0" xfId="0" applyFont="1" applyFill="1" applyBorder="1" applyProtection="1"/>
    <xf numFmtId="0" fontId="40" fillId="17" borderId="0" xfId="0" applyFont="1" applyFill="1" applyAlignment="1" applyProtection="1">
      <alignment horizontal="center" vertical="center"/>
    </xf>
    <xf numFmtId="0" fontId="41" fillId="17" borderId="0" xfId="0" applyFont="1" applyFill="1" applyProtection="1"/>
    <xf numFmtId="0" fontId="36" fillId="17" borderId="0" xfId="0" applyFont="1" applyFill="1" applyProtection="1"/>
    <xf numFmtId="0" fontId="41" fillId="17" borderId="0" xfId="0" applyFont="1" applyFill="1" applyAlignment="1" applyProtection="1">
      <alignment horizontal="center" vertical="center"/>
    </xf>
    <xf numFmtId="0" fontId="0" fillId="17" borderId="0" xfId="0" applyFill="1"/>
    <xf numFmtId="0" fontId="8" fillId="17" borderId="0" xfId="0" applyFont="1" applyFill="1" applyAlignment="1" applyProtection="1">
      <alignment horizontal="center" vertical="center"/>
    </xf>
    <xf numFmtId="0" fontId="59" fillId="17" borderId="0" xfId="0" applyFont="1" applyFill="1" applyAlignment="1" applyProtection="1">
      <alignment horizontal="center" vertical="center" wrapText="1"/>
    </xf>
    <xf numFmtId="0" fontId="58" fillId="17" borderId="0" xfId="0" applyFont="1" applyFill="1" applyAlignment="1" applyProtection="1">
      <alignment horizontal="center" vertical="center"/>
    </xf>
    <xf numFmtId="0" fontId="23"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0" fontId="1" fillId="2" borderId="1" xfId="0" applyNumberFormat="1" applyFont="1" applyFill="1" applyBorder="1" applyAlignment="1">
      <alignment horizontal="center" vertical="center"/>
    </xf>
    <xf numFmtId="182" fontId="1" fillId="2" borderId="1" xfId="0" applyNumberFormat="1" applyFont="1" applyFill="1" applyBorder="1" applyAlignment="1">
      <alignment horizontal="center" vertical="center"/>
    </xf>
    <xf numFmtId="0" fontId="41" fillId="0" borderId="0" xfId="0" applyFont="1" applyAlignment="1" applyProtection="1">
      <alignment horizontal="center" vertical="center"/>
    </xf>
    <xf numFmtId="0" fontId="74" fillId="0" borderId="0" xfId="0" applyFont="1" applyAlignment="1" applyProtection="1">
      <alignment horizontal="left" vertical="center"/>
    </xf>
    <xf numFmtId="185" fontId="75" fillId="0" borderId="1" xfId="0" applyNumberFormat="1" applyFont="1" applyBorder="1" applyAlignment="1" applyProtection="1">
      <alignment horizontal="center" vertical="center"/>
    </xf>
    <xf numFmtId="0" fontId="71" fillId="16" borderId="1" xfId="0" applyFont="1" applyFill="1" applyBorder="1" applyAlignment="1" applyProtection="1">
      <alignment horizontal="center" vertical="center"/>
    </xf>
    <xf numFmtId="0" fontId="71" fillId="18" borderId="1" xfId="0" applyFont="1" applyFill="1" applyBorder="1" applyAlignment="1" applyProtection="1">
      <alignment horizontal="center" vertical="center"/>
    </xf>
    <xf numFmtId="0" fontId="70" fillId="16" borderId="1" xfId="0" applyFont="1" applyFill="1" applyBorder="1" applyAlignment="1" applyProtection="1">
      <alignment horizontal="center" vertical="center"/>
    </xf>
    <xf numFmtId="0" fontId="70" fillId="19" borderId="1" xfId="0" applyFont="1" applyFill="1" applyBorder="1" applyAlignment="1" applyProtection="1">
      <alignment horizontal="center" vertical="center"/>
    </xf>
    <xf numFmtId="0" fontId="70" fillId="16" borderId="1" xfId="0" applyFont="1" applyFill="1" applyBorder="1" applyAlignment="1" applyProtection="1">
      <alignment horizontal="right" vertical="center" wrapText="1"/>
    </xf>
    <xf numFmtId="186" fontId="64" fillId="7" borderId="1" xfId="0" applyNumberFormat="1" applyFont="1" applyFill="1" applyBorder="1" applyAlignment="1" applyProtection="1">
      <alignment horizontal="center" vertical="center"/>
    </xf>
    <xf numFmtId="0" fontId="70" fillId="19" borderId="1" xfId="0" applyFont="1" applyFill="1" applyBorder="1" applyAlignment="1" applyProtection="1">
      <alignment horizontal="center" vertical="center" wrapText="1"/>
    </xf>
    <xf numFmtId="187" fontId="64" fillId="7" borderId="1" xfId="0" applyNumberFormat="1" applyFont="1" applyFill="1" applyBorder="1" applyAlignment="1" applyProtection="1">
      <alignment horizontal="center" vertical="center"/>
    </xf>
    <xf numFmtId="168" fontId="40" fillId="7" borderId="1" xfId="0" applyNumberFormat="1" applyFont="1" applyFill="1" applyBorder="1" applyAlignment="1" applyProtection="1">
      <alignment horizontal="center" vertical="center"/>
    </xf>
    <xf numFmtId="168" fontId="70" fillId="16" borderId="1" xfId="0" applyNumberFormat="1" applyFont="1" applyFill="1" applyBorder="1" applyAlignment="1" applyProtection="1">
      <alignment horizontal="center" vertical="center"/>
    </xf>
    <xf numFmtId="168" fontId="70" fillId="18" borderId="1" xfId="0" applyNumberFormat="1" applyFont="1" applyFill="1" applyBorder="1" applyAlignment="1" applyProtection="1">
      <alignment horizontal="center" vertical="center"/>
    </xf>
    <xf numFmtId="1" fontId="41" fillId="7" borderId="1" xfId="0" applyNumberFormat="1" applyFont="1" applyFill="1" applyBorder="1" applyAlignment="1" applyProtection="1">
      <alignment horizontal="center" vertical="center"/>
    </xf>
    <xf numFmtId="169" fontId="70" fillId="16" borderId="1" xfId="0" applyNumberFormat="1" applyFont="1" applyFill="1" applyBorder="1" applyAlignment="1" applyProtection="1">
      <alignment horizontal="center" vertical="center"/>
    </xf>
    <xf numFmtId="169" fontId="70" fillId="18" borderId="1" xfId="0" applyNumberFormat="1" applyFont="1" applyFill="1" applyBorder="1" applyAlignment="1" applyProtection="1">
      <alignment horizontal="center" vertical="center"/>
    </xf>
    <xf numFmtId="0" fontId="79" fillId="0" borderId="0" xfId="0" applyFont="1" applyAlignment="1" applyProtection="1">
      <alignment horizontal="center" vertical="center"/>
    </xf>
    <xf numFmtId="184" fontId="79" fillId="0" borderId="0" xfId="0" applyNumberFormat="1" applyFont="1" applyAlignment="1" applyProtection="1">
      <alignment horizontal="center" vertical="center"/>
    </xf>
    <xf numFmtId="0" fontId="70" fillId="21" borderId="1" xfId="0" applyFont="1" applyFill="1" applyBorder="1" applyAlignment="1" applyProtection="1">
      <alignment horizontal="center" vertical="center"/>
    </xf>
    <xf numFmtId="0" fontId="21" fillId="21" borderId="1" xfId="0" applyFont="1" applyFill="1" applyBorder="1" applyAlignment="1" applyProtection="1">
      <alignment horizontal="center" vertical="center"/>
    </xf>
    <xf numFmtId="0" fontId="70" fillId="21" borderId="1" xfId="0" applyFont="1" applyFill="1" applyBorder="1" applyAlignment="1" applyProtection="1">
      <alignment horizontal="center" vertical="center" wrapText="1"/>
    </xf>
    <xf numFmtId="178" fontId="41" fillId="5" borderId="1" xfId="0" applyNumberFormat="1" applyFont="1" applyFill="1" applyBorder="1" applyAlignment="1" applyProtection="1">
      <alignment horizontal="center" vertical="center"/>
    </xf>
    <xf numFmtId="0" fontId="70" fillId="17" borderId="1" xfId="0" applyFont="1" applyFill="1" applyBorder="1" applyAlignment="1" applyProtection="1">
      <alignment horizontal="center" vertical="center" wrapText="1"/>
    </xf>
    <xf numFmtId="178" fontId="41" fillId="14" borderId="1" xfId="0" applyNumberFormat="1" applyFont="1" applyFill="1" applyBorder="1" applyAlignment="1" applyProtection="1">
      <alignment horizontal="center" vertical="center"/>
    </xf>
    <xf numFmtId="0" fontId="70" fillId="20" borderId="1" xfId="0" applyFont="1" applyFill="1" applyBorder="1" applyAlignment="1" applyProtection="1">
      <alignment horizontal="center" vertical="center" wrapText="1"/>
    </xf>
    <xf numFmtId="0" fontId="70" fillId="20" borderId="1" xfId="0" applyFont="1" applyFill="1" applyBorder="1" applyAlignment="1" applyProtection="1">
      <alignment horizontal="center" vertical="center"/>
    </xf>
    <xf numFmtId="181" fontId="41" fillId="2" borderId="1" xfId="0" applyNumberFormat="1" applyFont="1" applyFill="1" applyBorder="1" applyAlignment="1" applyProtection="1">
      <alignment horizontal="center" vertical="center"/>
    </xf>
    <xf numFmtId="0" fontId="41" fillId="0" borderId="0" xfId="0" applyFont="1" applyAlignment="1" applyProtection="1">
      <alignment horizontal="left" vertical="center"/>
    </xf>
    <xf numFmtId="0" fontId="70" fillId="18" borderId="1" xfId="0" applyFont="1" applyFill="1" applyBorder="1" applyAlignment="1" applyProtection="1">
      <alignment horizontal="center" vertical="center"/>
    </xf>
    <xf numFmtId="178" fontId="70" fillId="20" borderId="28" xfId="0" applyNumberFormat="1" applyFont="1" applyFill="1" applyBorder="1" applyAlignment="1" applyProtection="1">
      <alignment horizontal="center" vertical="center"/>
    </xf>
    <xf numFmtId="178" fontId="70" fillId="20" borderId="1" xfId="0" applyNumberFormat="1" applyFont="1" applyFill="1" applyBorder="1" applyAlignment="1" applyProtection="1">
      <alignment horizontal="center" vertical="center"/>
    </xf>
    <xf numFmtId="188" fontId="41" fillId="7" borderId="1" xfId="0" applyNumberFormat="1" applyFont="1" applyFill="1" applyBorder="1" applyAlignment="1" applyProtection="1">
      <alignment horizontal="center" vertical="center"/>
    </xf>
    <xf numFmtId="189" fontId="70" fillId="20" borderId="1" xfId="0" applyNumberFormat="1" applyFont="1" applyFill="1" applyBorder="1" applyAlignment="1" applyProtection="1">
      <alignment horizontal="center" vertical="center"/>
    </xf>
    <xf numFmtId="190" fontId="41" fillId="7" borderId="1" xfId="0" applyNumberFormat="1" applyFont="1" applyFill="1" applyBorder="1" applyAlignment="1" applyProtection="1">
      <alignment horizontal="center" vertical="center"/>
    </xf>
    <xf numFmtId="166" fontId="41" fillId="0" borderId="1" xfId="0" applyNumberFormat="1" applyFont="1" applyBorder="1" applyAlignment="1" applyProtection="1">
      <alignment horizontal="center" vertical="center"/>
      <protection locked="0"/>
    </xf>
    <xf numFmtId="166" fontId="76" fillId="0" borderId="1" xfId="0" applyNumberFormat="1" applyFont="1" applyBorder="1" applyAlignment="1" applyProtection="1">
      <alignment horizontal="center" vertical="center"/>
      <protection locked="0"/>
    </xf>
    <xf numFmtId="172" fontId="41" fillId="0" borderId="1" xfId="0" applyNumberFormat="1" applyFont="1" applyBorder="1" applyAlignment="1" applyProtection="1">
      <alignment horizontal="center" vertical="center"/>
      <protection locked="0"/>
    </xf>
    <xf numFmtId="172" fontId="76" fillId="0" borderId="1" xfId="0" applyNumberFormat="1" applyFont="1" applyBorder="1" applyAlignment="1" applyProtection="1">
      <alignment horizontal="center" vertical="center"/>
      <protection locked="0"/>
    </xf>
    <xf numFmtId="168" fontId="40" fillId="2" borderId="1" xfId="0" applyNumberFormat="1" applyFont="1" applyFill="1" applyBorder="1" applyAlignment="1" applyProtection="1">
      <alignment horizontal="center" vertical="center"/>
      <protection locked="0"/>
    </xf>
    <xf numFmtId="168" fontId="76" fillId="2" borderId="1" xfId="0" applyNumberFormat="1" applyFont="1" applyFill="1" applyBorder="1" applyAlignment="1" applyProtection="1">
      <alignment horizontal="center" vertical="center"/>
      <protection locked="0"/>
    </xf>
    <xf numFmtId="183" fontId="41" fillId="0" borderId="1" xfId="0" applyNumberFormat="1" applyFont="1" applyBorder="1" applyAlignment="1" applyProtection="1">
      <alignment horizontal="center" vertical="center"/>
      <protection locked="0"/>
    </xf>
    <xf numFmtId="1" fontId="41" fillId="0" borderId="1" xfId="0" applyNumberFormat="1" applyFont="1" applyBorder="1" applyAlignment="1" applyProtection="1">
      <alignment horizontal="center" vertical="center"/>
      <protection locked="0"/>
    </xf>
    <xf numFmtId="178" fontId="77" fillId="0" borderId="1" xfId="0" applyNumberFormat="1" applyFont="1" applyBorder="1" applyAlignment="1" applyProtection="1">
      <alignment horizontal="center" vertical="center"/>
      <protection locked="0"/>
    </xf>
    <xf numFmtId="178" fontId="41" fillId="0" borderId="1" xfId="0" applyNumberFormat="1" applyFont="1" applyBorder="1" applyAlignment="1" applyProtection="1">
      <alignment horizontal="center" vertical="center"/>
      <protection locked="0"/>
    </xf>
    <xf numFmtId="178" fontId="41" fillId="2" borderId="1" xfId="0" applyNumberFormat="1" applyFont="1" applyFill="1" applyBorder="1" applyAlignment="1" applyProtection="1">
      <alignment horizontal="center" vertical="center"/>
      <protection locked="0"/>
    </xf>
    <xf numFmtId="0" fontId="80" fillId="2" borderId="1" xfId="0" applyFont="1" applyFill="1" applyBorder="1" applyAlignment="1" applyProtection="1">
      <alignment horizontal="center" vertical="center"/>
      <protection locked="0"/>
    </xf>
    <xf numFmtId="178" fontId="40" fillId="7" borderId="1" xfId="0" applyNumberFormat="1" applyFont="1" applyFill="1" applyBorder="1" applyAlignment="1" applyProtection="1">
      <alignment horizontal="center" vertical="center"/>
    </xf>
    <xf numFmtId="0" fontId="3" fillId="7" borderId="0" xfId="0" applyFont="1" applyFill="1" applyAlignment="1">
      <alignment horizontal="left" vertical="center" wrapText="1"/>
    </xf>
    <xf numFmtId="0" fontId="6" fillId="7" borderId="0" xfId="0" applyFont="1" applyFill="1" applyAlignment="1">
      <alignment horizontal="left" vertical="center" wrapText="1"/>
    </xf>
    <xf numFmtId="0" fontId="34" fillId="2" borderId="0" xfId="0" applyFont="1" applyFill="1" applyBorder="1" applyAlignment="1" applyProtection="1">
      <alignment horizontal="left" wrapText="1"/>
    </xf>
    <xf numFmtId="0" fontId="34" fillId="2" borderId="0" xfId="0" applyFont="1" applyFill="1" applyBorder="1" applyAlignment="1" applyProtection="1">
      <alignment horizontal="left" vertical="top" wrapText="1"/>
    </xf>
    <xf numFmtId="0" fontId="66" fillId="2" borderId="0" xfId="0" applyFont="1" applyFill="1" applyBorder="1" applyAlignment="1" applyProtection="1">
      <alignment horizontal="left" wrapText="1"/>
    </xf>
    <xf numFmtId="174" fontId="21" fillId="15" borderId="13" xfId="2" applyNumberFormat="1" applyFont="1" applyFill="1" applyBorder="1" applyAlignment="1" applyProtection="1">
      <alignment horizontal="left" vertical="center" wrapText="1"/>
    </xf>
    <xf numFmtId="174" fontId="21" fillId="15" borderId="0" xfId="2" applyNumberFormat="1" applyFont="1" applyFill="1" applyBorder="1" applyAlignment="1" applyProtection="1">
      <alignment horizontal="left" vertical="center" wrapText="1"/>
    </xf>
    <xf numFmtId="0" fontId="21" fillId="4" borderId="29" xfId="0" applyFont="1" applyFill="1" applyBorder="1" applyAlignment="1" applyProtection="1">
      <alignment horizontal="center" vertical="center" wrapText="1"/>
    </xf>
    <xf numFmtId="0" fontId="21" fillId="4" borderId="28" xfId="0" applyFont="1" applyFill="1" applyBorder="1" applyAlignment="1" applyProtection="1">
      <alignment horizontal="center" vertical="center" wrapText="1"/>
    </xf>
    <xf numFmtId="168" fontId="7" fillId="5" borderId="29" xfId="2" applyNumberFormat="1" applyFont="1" applyFill="1" applyBorder="1" applyAlignment="1" applyProtection="1">
      <alignment horizontal="center" vertical="center"/>
    </xf>
    <xf numFmtId="168" fontId="7" fillId="5" borderId="28" xfId="2" applyNumberFormat="1" applyFont="1" applyFill="1" applyBorder="1" applyAlignment="1" applyProtection="1">
      <alignment horizontal="center" vertical="center"/>
    </xf>
    <xf numFmtId="0" fontId="21" fillId="4" borderId="28" xfId="0" applyFont="1" applyFill="1" applyBorder="1" applyAlignment="1" applyProtection="1">
      <alignment horizontal="center" vertical="center"/>
    </xf>
    <xf numFmtId="0" fontId="34" fillId="2" borderId="0" xfId="0" applyFont="1" applyFill="1" applyBorder="1" applyAlignment="1" applyProtection="1">
      <alignment horizontal="left"/>
    </xf>
    <xf numFmtId="0" fontId="35" fillId="4" borderId="26" xfId="0" applyFont="1" applyFill="1" applyBorder="1" applyAlignment="1" applyProtection="1">
      <alignment horizontal="center" vertical="center" wrapText="1"/>
    </xf>
    <xf numFmtId="0" fontId="35" fillId="4" borderId="18" xfId="0" applyFont="1" applyFill="1" applyBorder="1" applyAlignment="1" applyProtection="1">
      <alignment horizontal="center" vertical="center" wrapText="1"/>
    </xf>
    <xf numFmtId="0" fontId="21" fillId="4" borderId="26"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172" fontId="23" fillId="0" borderId="32" xfId="2" applyNumberFormat="1" applyFont="1" applyBorder="1" applyAlignment="1" applyProtection="1">
      <alignment horizontal="center" vertical="center"/>
    </xf>
    <xf numFmtId="172" fontId="23" fillId="0" borderId="33" xfId="2" applyNumberFormat="1" applyFont="1" applyBorder="1" applyAlignment="1" applyProtection="1">
      <alignment horizontal="center" vertical="center"/>
    </xf>
    <xf numFmtId="172" fontId="23" fillId="0" borderId="26" xfId="2" applyNumberFormat="1" applyFont="1" applyBorder="1" applyAlignment="1" applyProtection="1">
      <alignment horizontal="center" vertical="center"/>
    </xf>
    <xf numFmtId="172" fontId="23" fillId="0" borderId="18" xfId="2" applyNumberFormat="1" applyFont="1" applyBorder="1" applyAlignment="1" applyProtection="1">
      <alignment horizontal="center" vertical="center"/>
    </xf>
    <xf numFmtId="169" fontId="23" fillId="0" borderId="26" xfId="2" applyNumberFormat="1" applyFont="1" applyBorder="1" applyAlignment="1" applyProtection="1">
      <alignment horizontal="center" vertical="center"/>
      <protection locked="0"/>
    </xf>
    <xf numFmtId="169" fontId="23" fillId="0" borderId="18" xfId="2" applyNumberFormat="1" applyFont="1" applyBorder="1" applyAlignment="1" applyProtection="1">
      <alignment horizontal="center" vertical="center"/>
      <protection locked="0"/>
    </xf>
    <xf numFmtId="166" fontId="23" fillId="7" borderId="1" xfId="0" applyNumberFormat="1" applyFont="1" applyFill="1" applyBorder="1" applyAlignment="1" applyProtection="1">
      <alignment horizontal="center" vertical="center"/>
    </xf>
    <xf numFmtId="167" fontId="23" fillId="7" borderId="26" xfId="0" applyNumberFormat="1" applyFont="1" applyFill="1" applyBorder="1" applyAlignment="1" applyProtection="1">
      <alignment horizontal="center" vertical="center"/>
    </xf>
    <xf numFmtId="167" fontId="23" fillId="7" borderId="18" xfId="0" applyNumberFormat="1" applyFont="1" applyFill="1" applyBorder="1" applyAlignment="1" applyProtection="1">
      <alignment horizontal="center" vertical="center"/>
    </xf>
    <xf numFmtId="166" fontId="23" fillId="7" borderId="26" xfId="0" applyNumberFormat="1" applyFont="1" applyFill="1" applyBorder="1" applyAlignment="1" applyProtection="1">
      <alignment horizontal="center" vertical="center"/>
    </xf>
    <xf numFmtId="166" fontId="23" fillId="7" borderId="18" xfId="0" applyNumberFormat="1" applyFont="1" applyFill="1" applyBorder="1" applyAlignment="1" applyProtection="1">
      <alignment horizontal="center" vertical="center"/>
    </xf>
    <xf numFmtId="168" fontId="2" fillId="5" borderId="29" xfId="2" applyNumberFormat="1" applyFont="1" applyFill="1" applyBorder="1" applyAlignment="1" applyProtection="1">
      <alignment horizontal="center" vertical="center"/>
    </xf>
    <xf numFmtId="168" fontId="2" fillId="5" borderId="28" xfId="2" applyNumberFormat="1" applyFont="1" applyFill="1" applyBorder="1" applyAlignment="1" applyProtection="1">
      <alignment horizontal="center" vertical="center"/>
    </xf>
    <xf numFmtId="0" fontId="8" fillId="9" borderId="1" xfId="0" applyFont="1" applyFill="1" applyBorder="1" applyAlignment="1" applyProtection="1">
      <alignment horizontal="center" vertical="center"/>
      <protection locked="0"/>
    </xf>
    <xf numFmtId="0" fontId="8" fillId="9" borderId="26" xfId="0" applyFont="1" applyFill="1" applyBorder="1" applyAlignment="1" applyProtection="1">
      <alignment horizontal="center" vertical="center"/>
      <protection locked="0"/>
    </xf>
    <xf numFmtId="0" fontId="8" fillId="9" borderId="18" xfId="0" applyFont="1" applyFill="1" applyBorder="1" applyAlignment="1" applyProtection="1">
      <alignment horizontal="center" vertical="center"/>
      <protection locked="0"/>
    </xf>
    <xf numFmtId="0" fontId="21" fillId="7" borderId="29" xfId="0" applyFont="1" applyFill="1" applyBorder="1" applyAlignment="1" applyProtection="1">
      <alignment horizontal="center" vertical="center" wrapText="1"/>
      <protection locked="0"/>
    </xf>
    <xf numFmtId="0" fontId="21" fillId="7" borderId="28" xfId="0" applyFont="1" applyFill="1" applyBorder="1" applyAlignment="1" applyProtection="1">
      <alignment horizontal="center" vertical="center" wrapText="1"/>
      <protection locked="0"/>
    </xf>
    <xf numFmtId="168" fontId="7" fillId="0" borderId="29" xfId="2" applyNumberFormat="1" applyFont="1" applyBorder="1" applyAlignment="1" applyProtection="1">
      <alignment horizontal="center" vertical="center"/>
      <protection locked="0"/>
    </xf>
    <xf numFmtId="168" fontId="7" fillId="0" borderId="28" xfId="2" applyNumberFormat="1" applyFont="1" applyBorder="1" applyAlignment="1" applyProtection="1">
      <alignment horizontal="center" vertical="center"/>
      <protection locked="0"/>
    </xf>
    <xf numFmtId="175" fontId="7" fillId="5" borderId="29" xfId="2" applyNumberFormat="1" applyFont="1" applyFill="1" applyBorder="1" applyAlignment="1" applyProtection="1">
      <alignment horizontal="center" vertical="center"/>
    </xf>
    <xf numFmtId="175" fontId="7" fillId="5" borderId="28" xfId="2" applyNumberFormat="1" applyFont="1" applyFill="1" applyBorder="1" applyAlignment="1" applyProtection="1">
      <alignment horizontal="center" vertical="center"/>
    </xf>
    <xf numFmtId="181" fontId="73" fillId="18" borderId="29" xfId="0" applyNumberFormat="1" applyFont="1" applyFill="1" applyBorder="1" applyAlignment="1" applyProtection="1">
      <alignment horizontal="center" vertical="center" wrapText="1"/>
    </xf>
    <xf numFmtId="181" fontId="73" fillId="18" borderId="39" xfId="0" applyNumberFormat="1" applyFont="1" applyFill="1" applyBorder="1" applyAlignment="1" applyProtection="1">
      <alignment horizontal="center" vertical="center" wrapText="1"/>
    </xf>
    <xf numFmtId="181" fontId="73" fillId="18" borderId="28" xfId="0" applyNumberFormat="1" applyFont="1" applyFill="1" applyBorder="1" applyAlignment="1" applyProtection="1">
      <alignment horizontal="center" vertical="center" wrapText="1"/>
    </xf>
    <xf numFmtId="168" fontId="5" fillId="5" borderId="29" xfId="2" applyNumberFormat="1" applyFont="1" applyFill="1" applyBorder="1" applyAlignment="1" applyProtection="1">
      <alignment horizontal="center" vertical="center"/>
    </xf>
    <xf numFmtId="168" fontId="5" fillId="5" borderId="28" xfId="2" applyNumberFormat="1" applyFont="1" applyFill="1" applyBorder="1" applyAlignment="1" applyProtection="1">
      <alignment horizontal="center" vertical="center"/>
    </xf>
    <xf numFmtId="0" fontId="70" fillId="18" borderId="27" xfId="0" applyFont="1" applyFill="1" applyBorder="1" applyAlignment="1" applyProtection="1">
      <alignment horizontal="center" vertical="center"/>
    </xf>
    <xf numFmtId="0" fontId="70" fillId="18" borderId="30" xfId="0" applyFont="1" applyFill="1" applyBorder="1" applyAlignment="1" applyProtection="1">
      <alignment horizontal="center" vertical="center"/>
    </xf>
    <xf numFmtId="181" fontId="72" fillId="17" borderId="1" xfId="0" applyNumberFormat="1" applyFont="1" applyFill="1" applyBorder="1" applyAlignment="1" applyProtection="1">
      <alignment horizontal="center" vertical="center" wrapText="1"/>
    </xf>
    <xf numFmtId="165" fontId="18" fillId="5" borderId="16" xfId="0" applyNumberFormat="1" applyFont="1" applyFill="1" applyBorder="1" applyAlignment="1">
      <alignment horizontal="center" vertical="center"/>
    </xf>
    <xf numFmtId="165" fontId="18" fillId="5" borderId="18" xfId="0" applyNumberFormat="1" applyFont="1" applyFill="1" applyBorder="1" applyAlignment="1">
      <alignment horizontal="center" vertical="center"/>
    </xf>
    <xf numFmtId="165" fontId="39" fillId="3" borderId="16" xfId="0" applyNumberFormat="1" applyFont="1" applyFill="1" applyBorder="1" applyAlignment="1">
      <alignment horizontal="center" vertical="center"/>
    </xf>
    <xf numFmtId="165" fontId="39" fillId="3" borderId="18" xfId="0" applyNumberFormat="1" applyFont="1" applyFill="1" applyBorder="1" applyAlignment="1">
      <alignment horizontal="center" vertical="center"/>
    </xf>
    <xf numFmtId="2" fontId="38" fillId="10" borderId="26" xfId="0" applyNumberFormat="1" applyFont="1" applyFill="1" applyBorder="1" applyAlignment="1">
      <alignment horizontal="center" vertical="center"/>
    </xf>
    <xf numFmtId="2" fontId="38" fillId="10" borderId="16" xfId="0" applyNumberFormat="1" applyFont="1" applyFill="1" applyBorder="1" applyAlignment="1">
      <alignment horizontal="center" vertical="center"/>
    </xf>
    <xf numFmtId="2" fontId="38" fillId="10" borderId="18" xfId="0" applyNumberFormat="1" applyFont="1" applyFill="1" applyBorder="1" applyAlignment="1">
      <alignment horizontal="center" vertical="center"/>
    </xf>
    <xf numFmtId="2" fontId="38" fillId="5" borderId="26" xfId="0" applyNumberFormat="1" applyFont="1" applyFill="1" applyBorder="1" applyAlignment="1">
      <alignment horizontal="center" vertical="center"/>
    </xf>
    <xf numFmtId="2" fontId="38" fillId="5" borderId="16" xfId="0" applyNumberFormat="1" applyFont="1" applyFill="1" applyBorder="1" applyAlignment="1">
      <alignment horizontal="center" vertical="center"/>
    </xf>
    <xf numFmtId="2" fontId="38" fillId="5" borderId="18" xfId="0" applyNumberFormat="1" applyFont="1" applyFill="1" applyBorder="1" applyAlignment="1">
      <alignment horizontal="center" vertical="center"/>
    </xf>
    <xf numFmtId="2" fontId="51" fillId="10" borderId="2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38" fillId="8" borderId="26" xfId="0" applyNumberFormat="1" applyFont="1" applyFill="1" applyBorder="1" applyAlignment="1">
      <alignment horizontal="center" vertical="center"/>
    </xf>
    <xf numFmtId="2" fontId="38" fillId="8" borderId="16" xfId="0" applyNumberFormat="1" applyFont="1" applyFill="1" applyBorder="1" applyAlignment="1">
      <alignment horizontal="center" vertical="center"/>
    </xf>
    <xf numFmtId="2" fontId="38" fillId="8" borderId="18" xfId="0" applyNumberFormat="1" applyFont="1" applyFill="1" applyBorder="1" applyAlignment="1">
      <alignment horizontal="center" vertical="center"/>
    </xf>
    <xf numFmtId="2" fontId="38" fillId="12" borderId="26" xfId="0" applyNumberFormat="1" applyFont="1" applyFill="1" applyBorder="1" applyAlignment="1">
      <alignment horizontal="center" vertical="center"/>
    </xf>
    <xf numFmtId="2" fontId="38" fillId="12" borderId="16" xfId="0" applyNumberFormat="1" applyFont="1" applyFill="1" applyBorder="1" applyAlignment="1">
      <alignment horizontal="center" vertical="center"/>
    </xf>
    <xf numFmtId="2" fontId="38" fillId="12" borderId="18" xfId="0" applyNumberFormat="1" applyFont="1" applyFill="1" applyBorder="1" applyAlignment="1">
      <alignment horizontal="center" vertical="center"/>
    </xf>
    <xf numFmtId="2" fontId="51" fillId="8" borderId="26" xfId="0" applyNumberFormat="1" applyFont="1" applyFill="1" applyBorder="1" applyAlignment="1">
      <alignment horizontal="center" vertical="center"/>
    </xf>
    <xf numFmtId="2" fontId="51" fillId="8" borderId="16" xfId="0" applyNumberFormat="1" applyFont="1" applyFill="1" applyBorder="1" applyAlignment="1">
      <alignment horizontal="center" vertical="center"/>
    </xf>
    <xf numFmtId="2" fontId="51" fillId="8" borderId="18" xfId="0" applyNumberFormat="1" applyFont="1" applyFill="1" applyBorder="1" applyAlignment="1">
      <alignment horizontal="center" vertical="center"/>
    </xf>
    <xf numFmtId="2" fontId="51" fillId="12" borderId="26" xfId="0" applyNumberFormat="1" applyFont="1" applyFill="1" applyBorder="1" applyAlignment="1">
      <alignment horizontal="center" vertical="center"/>
    </xf>
    <xf numFmtId="2" fontId="51" fillId="12" borderId="16" xfId="0" applyNumberFormat="1" applyFont="1" applyFill="1" applyBorder="1" applyAlignment="1">
      <alignment horizontal="center" vertical="center"/>
    </xf>
    <xf numFmtId="2" fontId="51" fillId="12" borderId="18" xfId="0" applyNumberFormat="1" applyFont="1" applyFill="1" applyBorder="1" applyAlignment="1">
      <alignment horizontal="center" vertical="center"/>
    </xf>
    <xf numFmtId="165" fontId="38" fillId="0" borderId="26" xfId="0" applyNumberFormat="1" applyFont="1" applyBorder="1" applyAlignment="1">
      <alignment horizontal="center" vertical="center"/>
    </xf>
    <xf numFmtId="165" fontId="38" fillId="0" borderId="16" xfId="0" applyNumberFormat="1" applyFont="1" applyBorder="1" applyAlignment="1">
      <alignment horizontal="center" vertical="center"/>
    </xf>
    <xf numFmtId="165" fontId="38" fillId="0" borderId="18" xfId="0" applyNumberFormat="1" applyFont="1" applyBorder="1" applyAlignment="1">
      <alignment horizontal="center" vertical="center"/>
    </xf>
    <xf numFmtId="165" fontId="38" fillId="0" borderId="36" xfId="0" applyNumberFormat="1" applyFont="1" applyBorder="1" applyAlignment="1">
      <alignment horizontal="center" vertical="center"/>
    </xf>
    <xf numFmtId="165" fontId="38" fillId="0" borderId="15" xfId="0" applyNumberFormat="1" applyFont="1" applyBorder="1" applyAlignment="1">
      <alignment horizontal="center" vertical="center"/>
    </xf>
    <xf numFmtId="165" fontId="38" fillId="0" borderId="38" xfId="0" applyNumberFormat="1" applyFont="1" applyBorder="1" applyAlignment="1">
      <alignment horizontal="center" vertical="center"/>
    </xf>
    <xf numFmtId="165" fontId="38" fillId="0" borderId="37" xfId="0" applyNumberFormat="1" applyFont="1" applyBorder="1" applyAlignment="1">
      <alignment horizontal="center" vertical="center"/>
    </xf>
    <xf numFmtId="165" fontId="38" fillId="0" borderId="20" xfId="0" applyNumberFormat="1" applyFont="1" applyBorder="1" applyAlignment="1">
      <alignment horizontal="center" vertical="center"/>
    </xf>
    <xf numFmtId="165" fontId="38" fillId="0" borderId="12" xfId="0" applyNumberFormat="1" applyFont="1" applyBorder="1" applyAlignment="1">
      <alignment horizontal="center" vertical="center"/>
    </xf>
    <xf numFmtId="165" fontId="38" fillId="0" borderId="13" xfId="0" applyNumberFormat="1" applyFont="1" applyBorder="1" applyAlignment="1">
      <alignment horizontal="center" vertical="center"/>
    </xf>
    <xf numFmtId="165" fontId="38" fillId="0" borderId="14" xfId="0" applyNumberFormat="1" applyFont="1" applyBorder="1" applyAlignment="1">
      <alignment horizontal="center" vertical="center"/>
    </xf>
    <xf numFmtId="0" fontId="10" fillId="13" borderId="29" xfId="0" applyFont="1" applyFill="1" applyBorder="1" applyAlignment="1">
      <alignment horizontal="center" vertical="center" wrapText="1"/>
    </xf>
    <xf numFmtId="0" fontId="10" fillId="13" borderId="28" xfId="0" applyFont="1" applyFill="1" applyBorder="1" applyAlignment="1">
      <alignment horizontal="center" vertical="center" wrapText="1"/>
    </xf>
    <xf numFmtId="0" fontId="70" fillId="18" borderId="1" xfId="0" applyFont="1" applyFill="1" applyBorder="1" applyAlignment="1" applyProtection="1">
      <alignment horizontal="center" vertical="center"/>
    </xf>
    <xf numFmtId="0" fontId="70" fillId="18" borderId="29" xfId="0" applyFont="1" applyFill="1" applyBorder="1" applyAlignment="1" applyProtection="1">
      <alignment horizontal="center" vertical="center" wrapText="1"/>
    </xf>
    <xf numFmtId="0" fontId="70" fillId="18" borderId="28" xfId="0" applyFont="1" applyFill="1" applyBorder="1" applyAlignment="1" applyProtection="1">
      <alignment horizontal="center" vertical="center" wrapText="1"/>
    </xf>
    <xf numFmtId="0" fontId="70" fillId="20" borderId="34" xfId="0" applyFont="1" applyFill="1" applyBorder="1" applyAlignment="1" applyProtection="1">
      <alignment horizontal="center" vertical="center" wrapText="1"/>
    </xf>
    <xf numFmtId="0" fontId="70" fillId="20" borderId="0" xfId="0" applyFont="1" applyFill="1" applyBorder="1" applyAlignment="1" applyProtection="1">
      <alignment horizontal="center" vertical="center" wrapText="1"/>
    </xf>
    <xf numFmtId="0" fontId="41" fillId="2" borderId="29" xfId="0" applyFont="1" applyFill="1" applyBorder="1" applyAlignment="1" applyProtection="1">
      <alignment horizontal="center" vertical="center"/>
      <protection locked="0"/>
    </xf>
    <xf numFmtId="0" fontId="41" fillId="2" borderId="28" xfId="0" applyFont="1" applyFill="1" applyBorder="1" applyAlignment="1" applyProtection="1">
      <alignment horizontal="center" vertical="center"/>
      <protection locked="0"/>
    </xf>
    <xf numFmtId="166" fontId="41" fillId="7" borderId="1" xfId="0" applyNumberFormat="1" applyFont="1" applyFill="1" applyBorder="1" applyAlignment="1" applyProtection="1">
      <alignment horizontal="center" vertical="center"/>
    </xf>
    <xf numFmtId="181" fontId="78" fillId="18" borderId="1" xfId="0" applyNumberFormat="1" applyFont="1" applyFill="1" applyBorder="1" applyAlignment="1" applyProtection="1">
      <alignment horizontal="center" vertical="center"/>
    </xf>
    <xf numFmtId="181" fontId="71" fillId="20" borderId="34" xfId="0" applyNumberFormat="1" applyFont="1" applyFill="1" applyBorder="1" applyAlignment="1" applyProtection="1">
      <alignment horizontal="center" vertical="center"/>
    </xf>
    <xf numFmtId="0" fontId="71" fillId="20" borderId="34" xfId="0" applyFont="1" applyFill="1" applyBorder="1" applyAlignment="1" applyProtection="1">
      <alignment horizontal="center" vertical="center"/>
    </xf>
    <xf numFmtId="178" fontId="40" fillId="7" borderId="1" xfId="0" applyNumberFormat="1" applyFont="1" applyFill="1" applyBorder="1" applyAlignment="1" applyProtection="1">
      <alignment horizontal="center" vertical="center"/>
    </xf>
    <xf numFmtId="0" fontId="70" fillId="21" borderId="1" xfId="0" applyFont="1" applyFill="1" applyBorder="1" applyAlignment="1" applyProtection="1">
      <alignment horizontal="center" vertical="center" wrapText="1"/>
    </xf>
    <xf numFmtId="0" fontId="70" fillId="18" borderId="1" xfId="0" applyFont="1" applyFill="1" applyBorder="1" applyAlignment="1" applyProtection="1">
      <alignment horizontal="right" vertical="center"/>
    </xf>
    <xf numFmtId="0" fontId="71" fillId="18" borderId="1" xfId="0" applyFont="1" applyFill="1" applyBorder="1" applyAlignment="1" applyProtection="1">
      <alignment horizontal="center" vertical="center"/>
    </xf>
    <xf numFmtId="0" fontId="23" fillId="2" borderId="1" xfId="0" applyFont="1" applyFill="1" applyBorder="1" applyAlignment="1">
      <alignment horizontal="center" vertical="center" wrapText="1"/>
    </xf>
  </cellXfs>
  <cellStyles count="4">
    <cellStyle name="Hyperlink" xfId="3" builtinId="8"/>
    <cellStyle name="Prozent" xfId="1" builtinId="5"/>
    <cellStyle name="Standard" xfId="0" builtinId="0"/>
    <cellStyle name="Währung" xfId="2" builtinId="4"/>
  </cellStyles>
  <dxfs count="118">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b/>
        <i val="0"/>
        <color rgb="FFFF0000"/>
      </font>
    </dxf>
    <dxf>
      <font>
        <b/>
        <i val="0"/>
        <color rgb="FFFF0000"/>
      </font>
    </dxf>
    <dxf>
      <font>
        <b/>
        <i val="0"/>
        <color rgb="FFFF0000"/>
      </font>
    </dxf>
    <dxf>
      <font>
        <b/>
        <i val="0"/>
        <color rgb="FFFF0000"/>
      </font>
    </dxf>
    <dxf>
      <font>
        <b/>
        <i val="0"/>
        <color rgb="FFFF0000"/>
      </font>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b/>
        <i val="0"/>
        <color rgb="FFFF0000"/>
      </font>
    </dxf>
    <dxf>
      <font>
        <b/>
        <i val="0"/>
        <color rgb="FFFF0000"/>
      </font>
    </dxf>
    <dxf>
      <font>
        <b/>
        <i val="0"/>
        <color rgb="FFFF0000"/>
      </font>
    </dxf>
    <dxf>
      <font>
        <b/>
        <i val="0"/>
        <color rgb="FFFF0000"/>
      </font>
    </dxf>
    <dxf>
      <font>
        <b/>
        <i val="0"/>
        <color rgb="FFFF0000"/>
      </font>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rgb="FFFF0000"/>
      </font>
    </dxf>
    <dxf>
      <font>
        <color theme="1"/>
      </font>
      <fill>
        <patternFill>
          <bgColor theme="1"/>
        </patternFill>
      </fill>
    </dxf>
    <dxf>
      <font>
        <color theme="1"/>
      </font>
      <fill>
        <patternFill>
          <bgColor theme="1"/>
        </patternFill>
      </fill>
    </dxf>
    <dxf>
      <font>
        <color theme="1"/>
      </font>
      <fill>
        <patternFill>
          <bgColor theme="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rgb="FFFF0000"/>
      </font>
    </dxf>
    <dxf>
      <font>
        <color rgb="FFFF0000"/>
      </font>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rgb="FFFF0000"/>
      </font>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rgb="FFFF0000"/>
      </font>
    </dxf>
    <dxf>
      <font>
        <color rgb="FFFF0000"/>
      </font>
    </dxf>
    <dxf>
      <font>
        <color theme="1"/>
      </font>
      <fill>
        <patternFill>
          <bgColor theme="1"/>
        </patternFill>
      </fill>
    </dxf>
    <dxf>
      <font>
        <color theme="1"/>
      </font>
      <fill>
        <patternFill>
          <bgColor theme="1"/>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theme="1"/>
      </font>
      <fill>
        <patternFill>
          <bgColor theme="1"/>
        </patternFill>
      </fill>
    </dxf>
  </dxfs>
  <tableStyles count="0" defaultTableStyle="TableStyleMedium2" defaultPivotStyle="PivotStyleLight16"/>
  <colors>
    <mruColors>
      <color rgb="FF90A52C"/>
      <color rgb="FFCED40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29"/>
    </mc:Choice>
    <mc:Fallback>
      <c:style val="29"/>
    </mc:Fallback>
  </mc:AlternateContent>
  <c:chart>
    <c:title>
      <c:tx>
        <c:strRef>
          <c:f>'1. Laktation'!$G$4</c:f>
          <c:strCache>
            <c:ptCount val="1"/>
            <c:pt idx="0">
              <c:v>Energiebilanz</c:v>
            </c:pt>
          </c:strCache>
        </c:strRef>
      </c:tx>
      <c:layout>
        <c:manualLayout>
          <c:xMode val="edge"/>
          <c:yMode val="edge"/>
          <c:x val="0.37958356296760459"/>
          <c:y val="5.0476190476190473E-2"/>
        </c:manualLayout>
      </c:layout>
      <c:overlay val="1"/>
      <c:txPr>
        <a:bodyPr/>
        <a:lstStyle/>
        <a:p>
          <a:pPr>
            <a:defRPr sz="1600"/>
          </a:pPr>
          <a:endParaRPr lang="de-DE"/>
        </a:p>
      </c:txPr>
    </c:title>
    <c:autoTitleDeleted val="0"/>
    <c:plotArea>
      <c:layout>
        <c:manualLayout>
          <c:layoutTarget val="inner"/>
          <c:xMode val="edge"/>
          <c:yMode val="edge"/>
          <c:x val="9.8968202888484569E-2"/>
          <c:y val="0.18323622047244095"/>
          <c:w val="0.87020693508081881"/>
          <c:h val="0.66099362579677545"/>
        </c:manualLayout>
      </c:layout>
      <c:areaChart>
        <c:grouping val="standard"/>
        <c:varyColors val="0"/>
        <c:ser>
          <c:idx val="0"/>
          <c:order val="0"/>
          <c:tx>
            <c:strRef>
              <c:f>'1. Laktation'!$H$4</c:f>
              <c:strCache>
                <c:ptCount val="1"/>
                <c:pt idx="0">
                  <c:v>Energiebedarf</c:v>
                </c:pt>
              </c:strCache>
            </c:strRef>
          </c:tx>
          <c:spPr>
            <a:solidFill>
              <a:srgbClr val="CED400"/>
            </a:solidFill>
            <a:ln w="25400">
              <a:solidFill>
                <a:srgbClr val="90A52C"/>
              </a:solidFill>
            </a:ln>
            <a:scene3d>
              <a:camera prst="orthographicFront"/>
              <a:lightRig rig="threePt" dir="t">
                <a:rot lat="0" lon="0" rev="1200000"/>
              </a:lightRig>
            </a:scene3d>
            <a:sp3d/>
          </c:spPr>
          <c:cat>
            <c:numRef>
              <c:f>'1. Laktation'!$B$16:$B$24</c:f>
              <c:numCache>
                <c:formatCode>General</c:formatCode>
                <c:ptCount val="9"/>
                <c:pt idx="0">
                  <c:v>20</c:v>
                </c:pt>
                <c:pt idx="1">
                  <c:v>40</c:v>
                </c:pt>
                <c:pt idx="2">
                  <c:v>60</c:v>
                </c:pt>
                <c:pt idx="3">
                  <c:v>100</c:v>
                </c:pt>
                <c:pt idx="4">
                  <c:v>150</c:v>
                </c:pt>
                <c:pt idx="5">
                  <c:v>200</c:v>
                </c:pt>
                <c:pt idx="6">
                  <c:v>250</c:v>
                </c:pt>
                <c:pt idx="7">
                  <c:v>300</c:v>
                </c:pt>
                <c:pt idx="8">
                  <c:v>350</c:v>
                </c:pt>
              </c:numCache>
            </c:numRef>
          </c:cat>
          <c:val>
            <c:numRef>
              <c:f>'1. Laktation'!$H$5:$H$13</c:f>
              <c:numCache>
                <c:formatCode>0</c:formatCode>
                <c:ptCount val="9"/>
                <c:pt idx="0">
                  <c:v>128.654</c:v>
                </c:pt>
                <c:pt idx="1">
                  <c:v>135.22199999999998</c:v>
                </c:pt>
                <c:pt idx="2">
                  <c:v>133.57999999999998</c:v>
                </c:pt>
                <c:pt idx="3">
                  <c:v>128.654</c:v>
                </c:pt>
                <c:pt idx="4">
                  <c:v>123.72799999999998</c:v>
                </c:pt>
                <c:pt idx="5">
                  <c:v>117.15999999999998</c:v>
                </c:pt>
                <c:pt idx="6">
                  <c:v>112.23399999999998</c:v>
                </c:pt>
                <c:pt idx="7">
                  <c:v>102.38199999999999</c:v>
                </c:pt>
                <c:pt idx="8">
                  <c:v>94.171999999999983</c:v>
                </c:pt>
              </c:numCache>
            </c:numRef>
          </c:val>
        </c:ser>
        <c:ser>
          <c:idx val="1"/>
          <c:order val="1"/>
          <c:tx>
            <c:strRef>
              <c:f>'1. Laktation'!$I$4</c:f>
              <c:strCache>
                <c:ptCount val="1"/>
                <c:pt idx="0">
                  <c:v>Energieaufnahme</c:v>
                </c:pt>
              </c:strCache>
            </c:strRef>
          </c:tx>
          <c:spPr>
            <a:noFill/>
            <a:ln w="25400">
              <a:solidFill>
                <a:schemeClr val="tx1">
                  <a:lumMod val="75000"/>
                  <a:lumOff val="25000"/>
                </a:schemeClr>
              </a:solidFill>
            </a:ln>
          </c:spPr>
          <c:val>
            <c:numRef>
              <c:f>'1. Laktation'!$I$5:$I$13</c:f>
              <c:numCache>
                <c:formatCode>0</c:formatCode>
                <c:ptCount val="9"/>
                <c:pt idx="0">
                  <c:v>115.73822474944592</c:v>
                </c:pt>
                <c:pt idx="1">
                  <c:v>126.5965757397605</c:v>
                </c:pt>
                <c:pt idx="2">
                  <c:v>129.99171496635259</c:v>
                </c:pt>
                <c:pt idx="3">
                  <c:v>125.72985083981482</c:v>
                </c:pt>
                <c:pt idx="4">
                  <c:v>120.81210283549582</c:v>
                </c:pt>
                <c:pt idx="5">
                  <c:v>113.69348898062663</c:v>
                </c:pt>
                <c:pt idx="6">
                  <c:v>111.4664500523487</c:v>
                </c:pt>
                <c:pt idx="7">
                  <c:v>104.65582364091803</c:v>
                </c:pt>
                <c:pt idx="8">
                  <c:v>97.511464153103717</c:v>
                </c:pt>
              </c:numCache>
            </c:numRef>
          </c:val>
        </c:ser>
        <c:dLbls>
          <c:showLegendKey val="0"/>
          <c:showVal val="0"/>
          <c:showCatName val="0"/>
          <c:showSerName val="0"/>
          <c:showPercent val="0"/>
          <c:showBubbleSize val="0"/>
        </c:dLbls>
        <c:axId val="212974976"/>
        <c:axId val="213173760"/>
      </c:areaChart>
      <c:catAx>
        <c:axId val="212974976"/>
        <c:scaling>
          <c:orientation val="minMax"/>
        </c:scaling>
        <c:delete val="0"/>
        <c:axPos val="b"/>
        <c:title>
          <c:tx>
            <c:strRef>
              <c:f>'1. Laktation'!$B$15</c:f>
              <c:strCache>
                <c:ptCount val="1"/>
                <c:pt idx="0">
                  <c:v>Laktationstag</c:v>
                </c:pt>
              </c:strCache>
            </c:strRef>
          </c:tx>
          <c:layout>
            <c:manualLayout>
              <c:xMode val="edge"/>
              <c:yMode val="edge"/>
              <c:x val="0.41186910663944792"/>
              <c:y val="0.92442332208473943"/>
            </c:manualLayout>
          </c:layout>
          <c:overlay val="0"/>
          <c:txPr>
            <a:bodyPr/>
            <a:lstStyle/>
            <a:p>
              <a:pPr>
                <a:defRPr>
                  <a:solidFill>
                    <a:schemeClr val="bg1"/>
                  </a:solidFill>
                </a:defRPr>
              </a:pPr>
              <a:endParaRPr lang="de-DE"/>
            </a:p>
          </c:txPr>
        </c:title>
        <c:numFmt formatCode="General" sourceLinked="1"/>
        <c:majorTickMark val="out"/>
        <c:minorTickMark val="none"/>
        <c:tickLblPos val="nextTo"/>
        <c:txPr>
          <a:bodyPr/>
          <a:lstStyle/>
          <a:p>
            <a:pPr>
              <a:defRPr b="1"/>
            </a:pPr>
            <a:endParaRPr lang="de-DE"/>
          </a:p>
        </c:txPr>
        <c:crossAx val="213173760"/>
        <c:crosses val="autoZero"/>
        <c:auto val="1"/>
        <c:lblAlgn val="ctr"/>
        <c:lblOffset val="100"/>
        <c:noMultiLvlLbl val="0"/>
      </c:catAx>
      <c:valAx>
        <c:axId val="213173760"/>
        <c:scaling>
          <c:orientation val="minMax"/>
          <c:min val="75"/>
        </c:scaling>
        <c:delete val="0"/>
        <c:axPos val="l"/>
        <c:majorGridlines/>
        <c:title>
          <c:tx>
            <c:rich>
              <a:bodyPr rot="0" vert="horz"/>
              <a:lstStyle/>
              <a:p>
                <a:pPr algn="l">
                  <a:defRPr/>
                </a:pPr>
                <a:r>
                  <a:rPr lang="de-DE"/>
                  <a:t>Bedarf</a:t>
                </a:r>
              </a:p>
              <a:p>
                <a:pPr algn="l">
                  <a:defRPr/>
                </a:pPr>
                <a:r>
                  <a:rPr lang="de-DE"/>
                  <a:t>MJ</a:t>
                </a:r>
                <a:r>
                  <a:rPr lang="de-DE" baseline="0"/>
                  <a:t> NEL</a:t>
                </a:r>
                <a:endParaRPr lang="de-DE"/>
              </a:p>
            </c:rich>
          </c:tx>
          <c:layout>
            <c:manualLayout>
              <c:xMode val="edge"/>
              <c:yMode val="edge"/>
              <c:x val="0"/>
              <c:y val="2.475403074615673E-2"/>
            </c:manualLayout>
          </c:layout>
          <c:overlay val="0"/>
        </c:title>
        <c:numFmt formatCode="0" sourceLinked="1"/>
        <c:majorTickMark val="out"/>
        <c:minorTickMark val="none"/>
        <c:tickLblPos val="nextTo"/>
        <c:spPr>
          <a:noFill/>
        </c:spPr>
        <c:txPr>
          <a:bodyPr/>
          <a:lstStyle/>
          <a:p>
            <a:pPr>
              <a:defRPr b="1"/>
            </a:pPr>
            <a:endParaRPr lang="de-DE"/>
          </a:p>
        </c:txPr>
        <c:crossAx val="212974976"/>
        <c:crosses val="autoZero"/>
        <c:crossBetween val="midCat"/>
      </c:valAx>
      <c:spPr>
        <a:gradFill rotWithShape="1">
          <a:gsLst>
            <a:gs pos="0">
              <a:schemeClr val="bg1">
                <a:lumMod val="75000"/>
              </a:schemeClr>
            </a:gs>
            <a:gs pos="35000">
              <a:schemeClr val="bg1">
                <a:lumMod val="85000"/>
              </a:schemeClr>
            </a:gs>
            <a:gs pos="100000">
              <a:schemeClr val="bg1">
                <a:lumMod val="95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plotArea>
    <c:legend>
      <c:legendPos val="t"/>
      <c:layout>
        <c:manualLayout>
          <c:xMode val="edge"/>
          <c:yMode val="edge"/>
          <c:x val="0.65952172645086027"/>
          <c:y val="0.2"/>
          <c:w val="0.28411806163118497"/>
          <c:h val="0.12887251593550805"/>
        </c:manualLayout>
      </c:layout>
      <c:overlay val="0"/>
      <c:spPr>
        <a:solidFill>
          <a:schemeClr val="bg1"/>
        </a:solidFill>
      </c:spPr>
      <c:txPr>
        <a:bodyPr/>
        <a:lstStyle/>
        <a:p>
          <a:pPr>
            <a:defRPr>
              <a:solidFill>
                <a:schemeClr val="tx1"/>
              </a:solidFill>
            </a:defRPr>
          </a:pPr>
          <a:endParaRPr lang="de-DE"/>
        </a:p>
      </c:txPr>
    </c:legend>
    <c:plotVisOnly val="1"/>
    <c:dispBlanksAs val="gap"/>
    <c:showDLblsOverMax val="0"/>
  </c:chart>
  <c:spPr>
    <a:solidFill>
      <a:srgbClr val="90A52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a:lstStyle/>
    <a:p>
      <a:pPr>
        <a:defRPr>
          <a:solidFill>
            <a:schemeClr val="bg1"/>
          </a:solidFill>
          <a:latin typeface="Arial" panose="020B0604020202020204" pitchFamily="34" charset="0"/>
          <a:ea typeface="+mn-ea"/>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29"/>
    </mc:Choice>
    <mc:Fallback>
      <c:style val="29"/>
    </mc:Fallback>
  </mc:AlternateContent>
  <c:chart>
    <c:title>
      <c:tx>
        <c:strRef>
          <c:f>'1. Laktation'!$G$4</c:f>
          <c:strCache>
            <c:ptCount val="1"/>
            <c:pt idx="0">
              <c:v>Energiebilanz</c:v>
            </c:pt>
          </c:strCache>
        </c:strRef>
      </c:tx>
      <c:layout>
        <c:manualLayout>
          <c:xMode val="edge"/>
          <c:yMode val="edge"/>
          <c:x val="0.37958356296760459"/>
          <c:y val="5.0476190476190473E-2"/>
        </c:manualLayout>
      </c:layout>
      <c:overlay val="1"/>
      <c:txPr>
        <a:bodyPr/>
        <a:lstStyle/>
        <a:p>
          <a:pPr>
            <a:defRPr sz="1600"/>
          </a:pPr>
          <a:endParaRPr lang="de-DE"/>
        </a:p>
      </c:txPr>
    </c:title>
    <c:autoTitleDeleted val="0"/>
    <c:plotArea>
      <c:layout>
        <c:manualLayout>
          <c:layoutTarget val="inner"/>
          <c:xMode val="edge"/>
          <c:yMode val="edge"/>
          <c:x val="9.8968202888484569E-2"/>
          <c:y val="0.18323622047244095"/>
          <c:w val="0.87020693508081881"/>
          <c:h val="0.66099362579677545"/>
        </c:manualLayout>
      </c:layout>
      <c:areaChart>
        <c:grouping val="standard"/>
        <c:varyColors val="0"/>
        <c:ser>
          <c:idx val="0"/>
          <c:order val="0"/>
          <c:tx>
            <c:strRef>
              <c:f>'2.+3. Laktation'!$H$4</c:f>
              <c:strCache>
                <c:ptCount val="1"/>
                <c:pt idx="0">
                  <c:v>Energiebedarf</c:v>
                </c:pt>
              </c:strCache>
            </c:strRef>
          </c:tx>
          <c:spPr>
            <a:solidFill>
              <a:srgbClr val="CED400"/>
            </a:solidFill>
            <a:ln w="25400">
              <a:solidFill>
                <a:srgbClr val="90A52C"/>
              </a:solidFill>
            </a:ln>
            <a:scene3d>
              <a:camera prst="orthographicFront"/>
              <a:lightRig rig="threePt" dir="t">
                <a:rot lat="0" lon="0" rev="1200000"/>
              </a:lightRig>
            </a:scene3d>
            <a:sp3d/>
          </c:spPr>
          <c:cat>
            <c:numRef>
              <c:f>'1. Laktation'!$B$16:$B$24</c:f>
              <c:numCache>
                <c:formatCode>General</c:formatCode>
                <c:ptCount val="9"/>
                <c:pt idx="0">
                  <c:v>20</c:v>
                </c:pt>
                <c:pt idx="1">
                  <c:v>40</c:v>
                </c:pt>
                <c:pt idx="2">
                  <c:v>60</c:v>
                </c:pt>
                <c:pt idx="3">
                  <c:v>100</c:v>
                </c:pt>
                <c:pt idx="4">
                  <c:v>150</c:v>
                </c:pt>
                <c:pt idx="5">
                  <c:v>200</c:v>
                </c:pt>
                <c:pt idx="6">
                  <c:v>250</c:v>
                </c:pt>
                <c:pt idx="7">
                  <c:v>300</c:v>
                </c:pt>
                <c:pt idx="8">
                  <c:v>350</c:v>
                </c:pt>
              </c:numCache>
            </c:numRef>
          </c:cat>
          <c:val>
            <c:numRef>
              <c:f>'2.+3. Laktation'!$H$5:$H$13</c:f>
              <c:numCache>
                <c:formatCode>0</c:formatCode>
                <c:ptCount val="9"/>
                <c:pt idx="0">
                  <c:v>177.828</c:v>
                </c:pt>
                <c:pt idx="1">
                  <c:v>184.39599999999999</c:v>
                </c:pt>
                <c:pt idx="2">
                  <c:v>181.11199999999999</c:v>
                </c:pt>
                <c:pt idx="3">
                  <c:v>167.976</c:v>
                </c:pt>
                <c:pt idx="4">
                  <c:v>154.84</c:v>
                </c:pt>
                <c:pt idx="5">
                  <c:v>141.70399999999998</c:v>
                </c:pt>
                <c:pt idx="6">
                  <c:v>128.56799999999998</c:v>
                </c:pt>
                <c:pt idx="7">
                  <c:v>108.864</c:v>
                </c:pt>
                <c:pt idx="8">
                  <c:v>99.012</c:v>
                </c:pt>
              </c:numCache>
            </c:numRef>
          </c:val>
        </c:ser>
        <c:ser>
          <c:idx val="1"/>
          <c:order val="1"/>
          <c:tx>
            <c:strRef>
              <c:f>'2.+3. Laktation'!$I$4</c:f>
              <c:strCache>
                <c:ptCount val="1"/>
                <c:pt idx="0">
                  <c:v>Energieaufnahme</c:v>
                </c:pt>
              </c:strCache>
            </c:strRef>
          </c:tx>
          <c:spPr>
            <a:noFill/>
            <a:ln w="25400">
              <a:solidFill>
                <a:schemeClr val="tx1">
                  <a:lumMod val="75000"/>
                  <a:lumOff val="25000"/>
                </a:schemeClr>
              </a:solidFill>
            </a:ln>
          </c:spPr>
          <c:val>
            <c:numRef>
              <c:f>'2.+3. Laktation'!$I$5:$I$13</c:f>
              <c:numCache>
                <c:formatCode>0</c:formatCode>
                <c:ptCount val="9"/>
                <c:pt idx="0">
                  <c:v>162.42306307290102</c:v>
                </c:pt>
                <c:pt idx="1">
                  <c:v>171.43997024323917</c:v>
                </c:pt>
                <c:pt idx="2">
                  <c:v>172.77267131810808</c:v>
                </c:pt>
                <c:pt idx="3">
                  <c:v>167.41996887598941</c:v>
                </c:pt>
                <c:pt idx="4">
                  <c:v>155.43651596909672</c:v>
                </c:pt>
                <c:pt idx="5">
                  <c:v>145.34037398536498</c:v>
                </c:pt>
                <c:pt idx="6">
                  <c:v>134.17387044135023</c:v>
                </c:pt>
                <c:pt idx="7">
                  <c:v>122.19341005403261</c:v>
                </c:pt>
                <c:pt idx="8">
                  <c:v>121.38984306297884</c:v>
                </c:pt>
              </c:numCache>
            </c:numRef>
          </c:val>
        </c:ser>
        <c:dLbls>
          <c:showLegendKey val="0"/>
          <c:showVal val="0"/>
          <c:showCatName val="0"/>
          <c:showSerName val="0"/>
          <c:showPercent val="0"/>
          <c:showBubbleSize val="0"/>
        </c:dLbls>
        <c:axId val="253904384"/>
        <c:axId val="253906304"/>
      </c:areaChart>
      <c:catAx>
        <c:axId val="253904384"/>
        <c:scaling>
          <c:orientation val="minMax"/>
        </c:scaling>
        <c:delete val="0"/>
        <c:axPos val="b"/>
        <c:title>
          <c:tx>
            <c:strRef>
              <c:f>'1. Laktation'!$B$15</c:f>
              <c:strCache>
                <c:ptCount val="1"/>
                <c:pt idx="0">
                  <c:v>Laktationstag</c:v>
                </c:pt>
              </c:strCache>
            </c:strRef>
          </c:tx>
          <c:layout>
            <c:manualLayout>
              <c:xMode val="edge"/>
              <c:yMode val="edge"/>
              <c:x val="0.41186910663944792"/>
              <c:y val="0.92442332208473943"/>
            </c:manualLayout>
          </c:layout>
          <c:overlay val="0"/>
          <c:txPr>
            <a:bodyPr/>
            <a:lstStyle/>
            <a:p>
              <a:pPr>
                <a:defRPr>
                  <a:solidFill>
                    <a:schemeClr val="bg1"/>
                  </a:solidFill>
                </a:defRPr>
              </a:pPr>
              <a:endParaRPr lang="de-DE"/>
            </a:p>
          </c:txPr>
        </c:title>
        <c:numFmt formatCode="General" sourceLinked="1"/>
        <c:majorTickMark val="out"/>
        <c:minorTickMark val="none"/>
        <c:tickLblPos val="nextTo"/>
        <c:txPr>
          <a:bodyPr/>
          <a:lstStyle/>
          <a:p>
            <a:pPr>
              <a:defRPr b="1"/>
            </a:pPr>
            <a:endParaRPr lang="de-DE"/>
          </a:p>
        </c:txPr>
        <c:crossAx val="253906304"/>
        <c:crosses val="autoZero"/>
        <c:auto val="1"/>
        <c:lblAlgn val="ctr"/>
        <c:lblOffset val="100"/>
        <c:noMultiLvlLbl val="0"/>
      </c:catAx>
      <c:valAx>
        <c:axId val="253906304"/>
        <c:scaling>
          <c:orientation val="minMax"/>
          <c:min val="75"/>
        </c:scaling>
        <c:delete val="0"/>
        <c:axPos val="l"/>
        <c:majorGridlines/>
        <c:title>
          <c:tx>
            <c:rich>
              <a:bodyPr rot="0" vert="horz"/>
              <a:lstStyle/>
              <a:p>
                <a:pPr algn="l">
                  <a:defRPr/>
                </a:pPr>
                <a:r>
                  <a:rPr lang="de-DE"/>
                  <a:t>Bedarf</a:t>
                </a:r>
              </a:p>
              <a:p>
                <a:pPr algn="l">
                  <a:defRPr/>
                </a:pPr>
                <a:r>
                  <a:rPr lang="de-DE"/>
                  <a:t>MJ</a:t>
                </a:r>
                <a:r>
                  <a:rPr lang="de-DE" baseline="0"/>
                  <a:t> NEL</a:t>
                </a:r>
                <a:endParaRPr lang="de-DE"/>
              </a:p>
            </c:rich>
          </c:tx>
          <c:layout>
            <c:manualLayout>
              <c:xMode val="edge"/>
              <c:yMode val="edge"/>
              <c:x val="0"/>
              <c:y val="2.475403074615673E-2"/>
            </c:manualLayout>
          </c:layout>
          <c:overlay val="0"/>
        </c:title>
        <c:numFmt formatCode="0" sourceLinked="1"/>
        <c:majorTickMark val="out"/>
        <c:minorTickMark val="none"/>
        <c:tickLblPos val="nextTo"/>
        <c:spPr>
          <a:noFill/>
        </c:spPr>
        <c:txPr>
          <a:bodyPr/>
          <a:lstStyle/>
          <a:p>
            <a:pPr>
              <a:defRPr b="1"/>
            </a:pPr>
            <a:endParaRPr lang="de-DE"/>
          </a:p>
        </c:txPr>
        <c:crossAx val="253904384"/>
        <c:crosses val="autoZero"/>
        <c:crossBetween val="midCat"/>
      </c:valAx>
      <c:spPr>
        <a:gradFill rotWithShape="1">
          <a:gsLst>
            <a:gs pos="0">
              <a:schemeClr val="bg1">
                <a:lumMod val="75000"/>
              </a:schemeClr>
            </a:gs>
            <a:gs pos="35000">
              <a:schemeClr val="bg1">
                <a:lumMod val="85000"/>
              </a:schemeClr>
            </a:gs>
            <a:gs pos="100000">
              <a:schemeClr val="bg1">
                <a:lumMod val="95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plotArea>
    <c:legend>
      <c:legendPos val="t"/>
      <c:layout>
        <c:manualLayout>
          <c:xMode val="edge"/>
          <c:yMode val="edge"/>
          <c:x val="0.65952172645086027"/>
          <c:y val="0.2"/>
          <c:w val="0.28411806163118497"/>
          <c:h val="0.12887251593550805"/>
        </c:manualLayout>
      </c:layout>
      <c:overlay val="0"/>
      <c:spPr>
        <a:solidFill>
          <a:schemeClr val="bg1"/>
        </a:solidFill>
      </c:spPr>
      <c:txPr>
        <a:bodyPr/>
        <a:lstStyle/>
        <a:p>
          <a:pPr>
            <a:defRPr>
              <a:solidFill>
                <a:schemeClr val="tx1"/>
              </a:solidFill>
            </a:defRPr>
          </a:pPr>
          <a:endParaRPr lang="de-DE"/>
        </a:p>
      </c:txPr>
    </c:legend>
    <c:plotVisOnly val="1"/>
    <c:dispBlanksAs val="gap"/>
    <c:showDLblsOverMax val="0"/>
  </c:chart>
  <c:spPr>
    <a:solidFill>
      <a:srgbClr val="90A52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a:lstStyle/>
    <a:p>
      <a:pPr>
        <a:defRPr>
          <a:solidFill>
            <a:schemeClr val="bg1"/>
          </a:solidFill>
          <a:latin typeface="Arial" panose="020B0604020202020204" pitchFamily="34" charset="0"/>
          <a:ea typeface="+mn-ea"/>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29"/>
    </mc:Choice>
    <mc:Fallback>
      <c:style val="29"/>
    </mc:Fallback>
  </mc:AlternateContent>
  <c:chart>
    <c:title>
      <c:tx>
        <c:strRef>
          <c:f>'1. Laktation'!$G$4</c:f>
          <c:strCache>
            <c:ptCount val="1"/>
            <c:pt idx="0">
              <c:v>Energiebilanz</c:v>
            </c:pt>
          </c:strCache>
        </c:strRef>
      </c:tx>
      <c:layout>
        <c:manualLayout>
          <c:xMode val="edge"/>
          <c:yMode val="edge"/>
          <c:x val="0.37958356296760459"/>
          <c:y val="5.0476190476190473E-2"/>
        </c:manualLayout>
      </c:layout>
      <c:overlay val="1"/>
      <c:txPr>
        <a:bodyPr/>
        <a:lstStyle/>
        <a:p>
          <a:pPr>
            <a:defRPr sz="1600"/>
          </a:pPr>
          <a:endParaRPr lang="de-DE"/>
        </a:p>
      </c:txPr>
    </c:title>
    <c:autoTitleDeleted val="0"/>
    <c:plotArea>
      <c:layout>
        <c:manualLayout>
          <c:layoutTarget val="inner"/>
          <c:xMode val="edge"/>
          <c:yMode val="edge"/>
          <c:x val="9.8968202888484569E-2"/>
          <c:y val="0.18323622047244095"/>
          <c:w val="0.87020693508081881"/>
          <c:h val="0.66099362579677545"/>
        </c:manualLayout>
      </c:layout>
      <c:areaChart>
        <c:grouping val="standard"/>
        <c:varyColors val="0"/>
        <c:ser>
          <c:idx val="0"/>
          <c:order val="0"/>
          <c:tx>
            <c:strRef>
              <c:f>'ab 4. Laktation'!$H$4</c:f>
              <c:strCache>
                <c:ptCount val="1"/>
                <c:pt idx="0">
                  <c:v>Energiebedarf</c:v>
                </c:pt>
              </c:strCache>
            </c:strRef>
          </c:tx>
          <c:spPr>
            <a:solidFill>
              <a:srgbClr val="CED400"/>
            </a:solidFill>
            <a:ln w="25400">
              <a:solidFill>
                <a:srgbClr val="90A52C"/>
              </a:solidFill>
            </a:ln>
            <a:scene3d>
              <a:camera prst="orthographicFront"/>
              <a:lightRig rig="threePt" dir="t">
                <a:rot lat="0" lon="0" rev="1200000"/>
              </a:lightRig>
            </a:scene3d>
            <a:sp3d/>
          </c:spPr>
          <c:cat>
            <c:numRef>
              <c:f>'1. Laktation'!$B$16:$B$24</c:f>
              <c:numCache>
                <c:formatCode>General</c:formatCode>
                <c:ptCount val="9"/>
                <c:pt idx="0">
                  <c:v>20</c:v>
                </c:pt>
                <c:pt idx="1">
                  <c:v>40</c:v>
                </c:pt>
                <c:pt idx="2">
                  <c:v>60</c:v>
                </c:pt>
                <c:pt idx="3">
                  <c:v>100</c:v>
                </c:pt>
                <c:pt idx="4">
                  <c:v>150</c:v>
                </c:pt>
                <c:pt idx="5">
                  <c:v>200</c:v>
                </c:pt>
                <c:pt idx="6">
                  <c:v>250</c:v>
                </c:pt>
                <c:pt idx="7">
                  <c:v>300</c:v>
                </c:pt>
                <c:pt idx="8">
                  <c:v>350</c:v>
                </c:pt>
              </c:numCache>
            </c:numRef>
          </c:cat>
          <c:val>
            <c:numRef>
              <c:f>'ab 4. Laktation'!$H$5:$H$13</c:f>
              <c:numCache>
                <c:formatCode>0</c:formatCode>
                <c:ptCount val="9"/>
                <c:pt idx="0">
                  <c:v>163.13599999999997</c:v>
                </c:pt>
                <c:pt idx="1">
                  <c:v>166.41999999999996</c:v>
                </c:pt>
                <c:pt idx="2">
                  <c:v>163.13599999999997</c:v>
                </c:pt>
                <c:pt idx="3">
                  <c:v>153.28399999999999</c:v>
                </c:pt>
                <c:pt idx="4">
                  <c:v>140.14799999999997</c:v>
                </c:pt>
                <c:pt idx="5">
                  <c:v>127.01199999999999</c:v>
                </c:pt>
                <c:pt idx="6">
                  <c:v>113.87599999999999</c:v>
                </c:pt>
                <c:pt idx="7">
                  <c:v>97.455999999999989</c:v>
                </c:pt>
                <c:pt idx="8">
                  <c:v>87.603999999999985</c:v>
                </c:pt>
              </c:numCache>
            </c:numRef>
          </c:val>
        </c:ser>
        <c:ser>
          <c:idx val="1"/>
          <c:order val="1"/>
          <c:tx>
            <c:strRef>
              <c:f>'ab 4. Laktation'!$I$4</c:f>
              <c:strCache>
                <c:ptCount val="1"/>
                <c:pt idx="0">
                  <c:v>Energieaufnahme</c:v>
                </c:pt>
              </c:strCache>
            </c:strRef>
          </c:tx>
          <c:spPr>
            <a:noFill/>
            <a:ln w="25400">
              <a:solidFill>
                <a:schemeClr val="tx1">
                  <a:lumMod val="75000"/>
                  <a:lumOff val="25000"/>
                </a:schemeClr>
              </a:solidFill>
            </a:ln>
          </c:spPr>
          <c:val>
            <c:numRef>
              <c:f>'ab 4. Laktation'!$I$5:$I$13</c:f>
              <c:numCache>
                <c:formatCode>0</c:formatCode>
                <c:ptCount val="9"/>
                <c:pt idx="0">
                  <c:v>134.64823430706764</c:v>
                </c:pt>
                <c:pt idx="1">
                  <c:v>152.32836125475683</c:v>
                </c:pt>
                <c:pt idx="2">
                  <c:v>153.25870142463503</c:v>
                </c:pt>
                <c:pt idx="3">
                  <c:v>150.15511258252394</c:v>
                </c:pt>
                <c:pt idx="4">
                  <c:v>140.89418346526264</c:v>
                </c:pt>
                <c:pt idx="5">
                  <c:v>127.9818808889097</c:v>
                </c:pt>
                <c:pt idx="6">
                  <c:v>114.15580926968231</c:v>
                </c:pt>
                <c:pt idx="7">
                  <c:v>98.009094055970465</c:v>
                </c:pt>
                <c:pt idx="8">
                  <c:v>96.996856810816254</c:v>
                </c:pt>
              </c:numCache>
            </c:numRef>
          </c:val>
        </c:ser>
        <c:dLbls>
          <c:showLegendKey val="0"/>
          <c:showVal val="0"/>
          <c:showCatName val="0"/>
          <c:showSerName val="0"/>
          <c:showPercent val="0"/>
          <c:showBubbleSize val="0"/>
        </c:dLbls>
        <c:axId val="276266368"/>
        <c:axId val="276538880"/>
      </c:areaChart>
      <c:catAx>
        <c:axId val="276266368"/>
        <c:scaling>
          <c:orientation val="minMax"/>
        </c:scaling>
        <c:delete val="0"/>
        <c:axPos val="b"/>
        <c:title>
          <c:tx>
            <c:strRef>
              <c:f>'1. Laktation'!$B$15</c:f>
              <c:strCache>
                <c:ptCount val="1"/>
                <c:pt idx="0">
                  <c:v>Laktationstag</c:v>
                </c:pt>
              </c:strCache>
            </c:strRef>
          </c:tx>
          <c:layout>
            <c:manualLayout>
              <c:xMode val="edge"/>
              <c:yMode val="edge"/>
              <c:x val="0.41186910663944792"/>
              <c:y val="0.92442332208473943"/>
            </c:manualLayout>
          </c:layout>
          <c:overlay val="0"/>
          <c:txPr>
            <a:bodyPr/>
            <a:lstStyle/>
            <a:p>
              <a:pPr>
                <a:defRPr>
                  <a:solidFill>
                    <a:schemeClr val="bg1"/>
                  </a:solidFill>
                </a:defRPr>
              </a:pPr>
              <a:endParaRPr lang="de-DE"/>
            </a:p>
          </c:txPr>
        </c:title>
        <c:numFmt formatCode="General" sourceLinked="1"/>
        <c:majorTickMark val="out"/>
        <c:minorTickMark val="none"/>
        <c:tickLblPos val="nextTo"/>
        <c:txPr>
          <a:bodyPr/>
          <a:lstStyle/>
          <a:p>
            <a:pPr>
              <a:defRPr b="1"/>
            </a:pPr>
            <a:endParaRPr lang="de-DE"/>
          </a:p>
        </c:txPr>
        <c:crossAx val="276538880"/>
        <c:crosses val="autoZero"/>
        <c:auto val="1"/>
        <c:lblAlgn val="ctr"/>
        <c:lblOffset val="100"/>
        <c:noMultiLvlLbl val="0"/>
      </c:catAx>
      <c:valAx>
        <c:axId val="276538880"/>
        <c:scaling>
          <c:orientation val="minMax"/>
          <c:min val="75"/>
        </c:scaling>
        <c:delete val="0"/>
        <c:axPos val="l"/>
        <c:majorGridlines/>
        <c:title>
          <c:tx>
            <c:rich>
              <a:bodyPr rot="0" vert="horz"/>
              <a:lstStyle/>
              <a:p>
                <a:pPr algn="l">
                  <a:defRPr/>
                </a:pPr>
                <a:r>
                  <a:rPr lang="de-DE"/>
                  <a:t>Bedarf</a:t>
                </a:r>
              </a:p>
              <a:p>
                <a:pPr algn="l">
                  <a:defRPr/>
                </a:pPr>
                <a:r>
                  <a:rPr lang="de-DE"/>
                  <a:t>MJ</a:t>
                </a:r>
                <a:r>
                  <a:rPr lang="de-DE" baseline="0"/>
                  <a:t> NEL</a:t>
                </a:r>
                <a:endParaRPr lang="de-DE"/>
              </a:p>
            </c:rich>
          </c:tx>
          <c:layout>
            <c:manualLayout>
              <c:xMode val="edge"/>
              <c:yMode val="edge"/>
              <c:x val="0"/>
              <c:y val="2.475403074615673E-2"/>
            </c:manualLayout>
          </c:layout>
          <c:overlay val="0"/>
        </c:title>
        <c:numFmt formatCode="0" sourceLinked="1"/>
        <c:majorTickMark val="out"/>
        <c:minorTickMark val="none"/>
        <c:tickLblPos val="nextTo"/>
        <c:spPr>
          <a:noFill/>
        </c:spPr>
        <c:txPr>
          <a:bodyPr/>
          <a:lstStyle/>
          <a:p>
            <a:pPr>
              <a:defRPr b="1"/>
            </a:pPr>
            <a:endParaRPr lang="de-DE"/>
          </a:p>
        </c:txPr>
        <c:crossAx val="276266368"/>
        <c:crosses val="autoZero"/>
        <c:crossBetween val="midCat"/>
      </c:valAx>
      <c:spPr>
        <a:gradFill rotWithShape="1">
          <a:gsLst>
            <a:gs pos="0">
              <a:schemeClr val="bg1">
                <a:lumMod val="75000"/>
              </a:schemeClr>
            </a:gs>
            <a:gs pos="35000">
              <a:schemeClr val="bg1">
                <a:lumMod val="85000"/>
              </a:schemeClr>
            </a:gs>
            <a:gs pos="100000">
              <a:schemeClr val="bg1">
                <a:lumMod val="95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plotArea>
    <c:legend>
      <c:legendPos val="t"/>
      <c:layout>
        <c:manualLayout>
          <c:xMode val="edge"/>
          <c:yMode val="edge"/>
          <c:x val="0.65952172645086027"/>
          <c:y val="0.2"/>
          <c:w val="0.28411806163118497"/>
          <c:h val="0.12887251593550805"/>
        </c:manualLayout>
      </c:layout>
      <c:overlay val="0"/>
      <c:spPr>
        <a:solidFill>
          <a:schemeClr val="bg1"/>
        </a:solidFill>
      </c:spPr>
      <c:txPr>
        <a:bodyPr/>
        <a:lstStyle/>
        <a:p>
          <a:pPr>
            <a:defRPr>
              <a:solidFill>
                <a:schemeClr val="tx1"/>
              </a:solidFill>
            </a:defRPr>
          </a:pPr>
          <a:endParaRPr lang="de-DE"/>
        </a:p>
      </c:txPr>
    </c:legend>
    <c:plotVisOnly val="1"/>
    <c:dispBlanksAs val="gap"/>
    <c:showDLblsOverMax val="0"/>
  </c:chart>
  <c:spPr>
    <a:solidFill>
      <a:srgbClr val="90A52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a:lstStyle/>
    <a:p>
      <a:pPr>
        <a:defRPr>
          <a:solidFill>
            <a:schemeClr val="bg1"/>
          </a:solidFill>
          <a:latin typeface="Arial" panose="020B0604020202020204" pitchFamily="34" charset="0"/>
          <a:ea typeface="+mn-ea"/>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29"/>
    </mc:Choice>
    <mc:Fallback>
      <c:style val="29"/>
    </mc:Fallback>
  </mc:AlternateContent>
  <c:chart>
    <c:title>
      <c:tx>
        <c:strRef>
          <c:f>'1. Laktation'!$G$4</c:f>
          <c:strCache>
            <c:ptCount val="1"/>
            <c:pt idx="0">
              <c:v>Energiebilanz</c:v>
            </c:pt>
          </c:strCache>
        </c:strRef>
      </c:tx>
      <c:layout>
        <c:manualLayout>
          <c:xMode val="edge"/>
          <c:yMode val="edge"/>
          <c:x val="0.37958356296760459"/>
          <c:y val="5.0476190476190473E-2"/>
        </c:manualLayout>
      </c:layout>
      <c:overlay val="1"/>
      <c:txPr>
        <a:bodyPr/>
        <a:lstStyle/>
        <a:p>
          <a:pPr>
            <a:defRPr sz="1600"/>
          </a:pPr>
          <a:endParaRPr lang="de-DE"/>
        </a:p>
      </c:txPr>
    </c:title>
    <c:autoTitleDeleted val="0"/>
    <c:plotArea>
      <c:layout>
        <c:manualLayout>
          <c:layoutTarget val="inner"/>
          <c:xMode val="edge"/>
          <c:yMode val="edge"/>
          <c:x val="9.8968202888484569E-2"/>
          <c:y val="0.18323622047244095"/>
          <c:w val="0.87020693508081881"/>
          <c:h val="0.66099362579677545"/>
        </c:manualLayout>
      </c:layout>
      <c:areaChart>
        <c:grouping val="standard"/>
        <c:varyColors val="0"/>
        <c:ser>
          <c:idx val="0"/>
          <c:order val="0"/>
          <c:tx>
            <c:strRef>
              <c:f>'TMR 1. Lakt.'!$H$4</c:f>
              <c:strCache>
                <c:ptCount val="1"/>
                <c:pt idx="0">
                  <c:v>Energiebedarf</c:v>
                </c:pt>
              </c:strCache>
            </c:strRef>
          </c:tx>
          <c:spPr>
            <a:solidFill>
              <a:srgbClr val="CED400"/>
            </a:solidFill>
            <a:ln w="25400">
              <a:solidFill>
                <a:srgbClr val="90A52C"/>
              </a:solidFill>
            </a:ln>
            <a:scene3d>
              <a:camera prst="orthographicFront"/>
              <a:lightRig rig="threePt" dir="t">
                <a:rot lat="0" lon="0" rev="1200000"/>
              </a:lightRig>
            </a:scene3d>
            <a:sp3d/>
          </c:spPr>
          <c:cat>
            <c:numRef>
              <c:f>'1. Laktation'!$B$16:$B$24</c:f>
              <c:numCache>
                <c:formatCode>General</c:formatCode>
                <c:ptCount val="9"/>
                <c:pt idx="0">
                  <c:v>20</c:v>
                </c:pt>
                <c:pt idx="1">
                  <c:v>40</c:v>
                </c:pt>
                <c:pt idx="2">
                  <c:v>60</c:v>
                </c:pt>
                <c:pt idx="3">
                  <c:v>100</c:v>
                </c:pt>
                <c:pt idx="4">
                  <c:v>150</c:v>
                </c:pt>
                <c:pt idx="5">
                  <c:v>200</c:v>
                </c:pt>
                <c:pt idx="6">
                  <c:v>250</c:v>
                </c:pt>
                <c:pt idx="7">
                  <c:v>300</c:v>
                </c:pt>
                <c:pt idx="8">
                  <c:v>350</c:v>
                </c:pt>
              </c:numCache>
            </c:numRef>
          </c:cat>
          <c:val>
            <c:numRef>
              <c:f>'TMR 1. Lakt.'!$H$5:$H$13</c:f>
              <c:numCache>
                <c:formatCode>0</c:formatCode>
                <c:ptCount val="9"/>
                <c:pt idx="0">
                  <c:v>141.02799999999999</c:v>
                </c:pt>
                <c:pt idx="1">
                  <c:v>150.88</c:v>
                </c:pt>
                <c:pt idx="2">
                  <c:v>150.88</c:v>
                </c:pt>
                <c:pt idx="3">
                  <c:v>144.31200000000001</c:v>
                </c:pt>
                <c:pt idx="4">
                  <c:v>141.02799999999999</c:v>
                </c:pt>
                <c:pt idx="5">
                  <c:v>134.45999999999998</c:v>
                </c:pt>
                <c:pt idx="6">
                  <c:v>127.892</c:v>
                </c:pt>
                <c:pt idx="7">
                  <c:v>114.756</c:v>
                </c:pt>
                <c:pt idx="8">
                  <c:v>108.18799999999999</c:v>
                </c:pt>
              </c:numCache>
            </c:numRef>
          </c:val>
        </c:ser>
        <c:ser>
          <c:idx val="1"/>
          <c:order val="1"/>
          <c:tx>
            <c:strRef>
              <c:f>'TMR 1. Lakt.'!$I$4</c:f>
              <c:strCache>
                <c:ptCount val="1"/>
                <c:pt idx="0">
                  <c:v>Energieaufnahme</c:v>
                </c:pt>
              </c:strCache>
            </c:strRef>
          </c:tx>
          <c:spPr>
            <a:noFill/>
            <a:ln w="25400">
              <a:solidFill>
                <a:schemeClr val="tx1">
                  <a:lumMod val="75000"/>
                  <a:lumOff val="25000"/>
                </a:schemeClr>
              </a:solidFill>
            </a:ln>
          </c:spPr>
          <c:val>
            <c:numRef>
              <c:f>'TMR 1. Lakt.'!$I$5:$I$13</c:f>
              <c:numCache>
                <c:formatCode>0</c:formatCode>
                <c:ptCount val="9"/>
                <c:pt idx="0">
                  <c:v>121.93420480838316</c:v>
                </c:pt>
                <c:pt idx="1">
                  <c:v>131.7282882750473</c:v>
                </c:pt>
                <c:pt idx="2">
                  <c:v>135.41790474752568</c:v>
                </c:pt>
                <c:pt idx="3">
                  <c:v>135.72704379107211</c:v>
                </c:pt>
                <c:pt idx="4">
                  <c:v>134.77255668589359</c:v>
                </c:pt>
                <c:pt idx="5">
                  <c:v>130.4820962989499</c:v>
                </c:pt>
                <c:pt idx="6">
                  <c:v>125.91098596766548</c:v>
                </c:pt>
                <c:pt idx="7">
                  <c:v>117.69211351484532</c:v>
                </c:pt>
                <c:pt idx="8">
                  <c:v>114.40059773607317</c:v>
                </c:pt>
              </c:numCache>
            </c:numRef>
          </c:val>
        </c:ser>
        <c:dLbls>
          <c:showLegendKey val="0"/>
          <c:showVal val="0"/>
          <c:showCatName val="0"/>
          <c:showSerName val="0"/>
          <c:showPercent val="0"/>
          <c:showBubbleSize val="0"/>
        </c:dLbls>
        <c:axId val="276554496"/>
        <c:axId val="277225472"/>
      </c:areaChart>
      <c:catAx>
        <c:axId val="276554496"/>
        <c:scaling>
          <c:orientation val="minMax"/>
        </c:scaling>
        <c:delete val="0"/>
        <c:axPos val="b"/>
        <c:title>
          <c:tx>
            <c:strRef>
              <c:f>'1. Laktation'!$B$15</c:f>
              <c:strCache>
                <c:ptCount val="1"/>
                <c:pt idx="0">
                  <c:v>Laktationstag</c:v>
                </c:pt>
              </c:strCache>
            </c:strRef>
          </c:tx>
          <c:layout>
            <c:manualLayout>
              <c:xMode val="edge"/>
              <c:yMode val="edge"/>
              <c:x val="0.41186910663944792"/>
              <c:y val="0.92442332208473943"/>
            </c:manualLayout>
          </c:layout>
          <c:overlay val="0"/>
          <c:txPr>
            <a:bodyPr/>
            <a:lstStyle/>
            <a:p>
              <a:pPr>
                <a:defRPr>
                  <a:solidFill>
                    <a:schemeClr val="bg1"/>
                  </a:solidFill>
                </a:defRPr>
              </a:pPr>
              <a:endParaRPr lang="de-DE"/>
            </a:p>
          </c:txPr>
        </c:title>
        <c:numFmt formatCode="General" sourceLinked="1"/>
        <c:majorTickMark val="out"/>
        <c:minorTickMark val="none"/>
        <c:tickLblPos val="nextTo"/>
        <c:txPr>
          <a:bodyPr/>
          <a:lstStyle/>
          <a:p>
            <a:pPr>
              <a:defRPr b="1"/>
            </a:pPr>
            <a:endParaRPr lang="de-DE"/>
          </a:p>
        </c:txPr>
        <c:crossAx val="277225472"/>
        <c:crosses val="autoZero"/>
        <c:auto val="1"/>
        <c:lblAlgn val="ctr"/>
        <c:lblOffset val="100"/>
        <c:noMultiLvlLbl val="0"/>
      </c:catAx>
      <c:valAx>
        <c:axId val="277225472"/>
        <c:scaling>
          <c:orientation val="minMax"/>
          <c:min val="75"/>
        </c:scaling>
        <c:delete val="0"/>
        <c:axPos val="l"/>
        <c:majorGridlines/>
        <c:title>
          <c:tx>
            <c:rich>
              <a:bodyPr rot="0" vert="horz"/>
              <a:lstStyle/>
              <a:p>
                <a:pPr algn="l">
                  <a:defRPr/>
                </a:pPr>
                <a:r>
                  <a:rPr lang="de-DE"/>
                  <a:t>Bedarf</a:t>
                </a:r>
              </a:p>
              <a:p>
                <a:pPr algn="l">
                  <a:defRPr/>
                </a:pPr>
                <a:r>
                  <a:rPr lang="de-DE"/>
                  <a:t>MJ</a:t>
                </a:r>
                <a:r>
                  <a:rPr lang="de-DE" baseline="0"/>
                  <a:t> NEL</a:t>
                </a:r>
                <a:endParaRPr lang="de-DE"/>
              </a:p>
            </c:rich>
          </c:tx>
          <c:layout>
            <c:manualLayout>
              <c:xMode val="edge"/>
              <c:yMode val="edge"/>
              <c:x val="0"/>
              <c:y val="2.475403074615673E-2"/>
            </c:manualLayout>
          </c:layout>
          <c:overlay val="0"/>
        </c:title>
        <c:numFmt formatCode="0" sourceLinked="1"/>
        <c:majorTickMark val="out"/>
        <c:minorTickMark val="none"/>
        <c:tickLblPos val="nextTo"/>
        <c:spPr>
          <a:noFill/>
        </c:spPr>
        <c:txPr>
          <a:bodyPr/>
          <a:lstStyle/>
          <a:p>
            <a:pPr>
              <a:defRPr b="1"/>
            </a:pPr>
            <a:endParaRPr lang="de-DE"/>
          </a:p>
        </c:txPr>
        <c:crossAx val="276554496"/>
        <c:crosses val="autoZero"/>
        <c:crossBetween val="midCat"/>
      </c:valAx>
      <c:spPr>
        <a:gradFill rotWithShape="1">
          <a:gsLst>
            <a:gs pos="0">
              <a:schemeClr val="bg1">
                <a:lumMod val="75000"/>
              </a:schemeClr>
            </a:gs>
            <a:gs pos="35000">
              <a:schemeClr val="bg1">
                <a:lumMod val="85000"/>
              </a:schemeClr>
            </a:gs>
            <a:gs pos="100000">
              <a:schemeClr val="bg1">
                <a:lumMod val="95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plotArea>
    <c:legend>
      <c:legendPos val="t"/>
      <c:layout>
        <c:manualLayout>
          <c:xMode val="edge"/>
          <c:yMode val="edge"/>
          <c:x val="0.65952172645086027"/>
          <c:y val="0.2"/>
          <c:w val="0.28411806163118497"/>
          <c:h val="0.12887251593550805"/>
        </c:manualLayout>
      </c:layout>
      <c:overlay val="0"/>
      <c:spPr>
        <a:solidFill>
          <a:schemeClr val="bg1"/>
        </a:solidFill>
      </c:spPr>
      <c:txPr>
        <a:bodyPr/>
        <a:lstStyle/>
        <a:p>
          <a:pPr>
            <a:defRPr>
              <a:solidFill>
                <a:schemeClr val="tx1"/>
              </a:solidFill>
            </a:defRPr>
          </a:pPr>
          <a:endParaRPr lang="de-DE"/>
        </a:p>
      </c:txPr>
    </c:legend>
    <c:plotVisOnly val="1"/>
    <c:dispBlanksAs val="gap"/>
    <c:showDLblsOverMax val="0"/>
  </c:chart>
  <c:spPr>
    <a:solidFill>
      <a:srgbClr val="90A52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a:lstStyle/>
    <a:p>
      <a:pPr>
        <a:defRPr>
          <a:solidFill>
            <a:schemeClr val="bg1"/>
          </a:solidFill>
          <a:latin typeface="Arial" panose="020B0604020202020204" pitchFamily="34" charset="0"/>
          <a:ea typeface="+mn-ea"/>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29"/>
    </mc:Choice>
    <mc:Fallback>
      <c:style val="29"/>
    </mc:Fallback>
  </mc:AlternateContent>
  <c:chart>
    <c:title>
      <c:tx>
        <c:strRef>
          <c:f>'1. Laktation'!$G$4</c:f>
          <c:strCache>
            <c:ptCount val="1"/>
            <c:pt idx="0">
              <c:v>Energiebilanz</c:v>
            </c:pt>
          </c:strCache>
        </c:strRef>
      </c:tx>
      <c:layout>
        <c:manualLayout>
          <c:xMode val="edge"/>
          <c:yMode val="edge"/>
          <c:x val="0.37958356296760459"/>
          <c:y val="5.0476190476190473E-2"/>
        </c:manualLayout>
      </c:layout>
      <c:overlay val="1"/>
      <c:txPr>
        <a:bodyPr/>
        <a:lstStyle/>
        <a:p>
          <a:pPr>
            <a:defRPr sz="1600"/>
          </a:pPr>
          <a:endParaRPr lang="de-DE"/>
        </a:p>
      </c:txPr>
    </c:title>
    <c:autoTitleDeleted val="0"/>
    <c:plotArea>
      <c:layout>
        <c:manualLayout>
          <c:layoutTarget val="inner"/>
          <c:xMode val="edge"/>
          <c:yMode val="edge"/>
          <c:x val="9.8968202888484569E-2"/>
          <c:y val="0.18323622047244095"/>
          <c:w val="0.87020693508081881"/>
          <c:h val="0.66099362579677545"/>
        </c:manualLayout>
      </c:layout>
      <c:areaChart>
        <c:grouping val="standard"/>
        <c:varyColors val="0"/>
        <c:ser>
          <c:idx val="0"/>
          <c:order val="0"/>
          <c:tx>
            <c:strRef>
              <c:f>'TMR 2. Lakt.'!$H$4</c:f>
              <c:strCache>
                <c:ptCount val="1"/>
                <c:pt idx="0">
                  <c:v>Energiebedarf</c:v>
                </c:pt>
              </c:strCache>
            </c:strRef>
          </c:tx>
          <c:spPr>
            <a:solidFill>
              <a:srgbClr val="CED400"/>
            </a:solidFill>
            <a:ln w="25400">
              <a:solidFill>
                <a:srgbClr val="90A52C"/>
              </a:solidFill>
            </a:ln>
            <a:scene3d>
              <a:camera prst="orthographicFront"/>
              <a:lightRig rig="threePt" dir="t">
                <a:rot lat="0" lon="0" rev="1200000"/>
              </a:lightRig>
            </a:scene3d>
            <a:sp3d/>
          </c:spPr>
          <c:cat>
            <c:numRef>
              <c:f>'1. Laktation'!$B$16:$B$24</c:f>
              <c:numCache>
                <c:formatCode>General</c:formatCode>
                <c:ptCount val="9"/>
                <c:pt idx="0">
                  <c:v>20</c:v>
                </c:pt>
                <c:pt idx="1">
                  <c:v>40</c:v>
                </c:pt>
                <c:pt idx="2">
                  <c:v>60</c:v>
                </c:pt>
                <c:pt idx="3">
                  <c:v>100</c:v>
                </c:pt>
                <c:pt idx="4">
                  <c:v>150</c:v>
                </c:pt>
                <c:pt idx="5">
                  <c:v>200</c:v>
                </c:pt>
                <c:pt idx="6">
                  <c:v>250</c:v>
                </c:pt>
                <c:pt idx="7">
                  <c:v>300</c:v>
                </c:pt>
                <c:pt idx="8">
                  <c:v>350</c:v>
                </c:pt>
              </c:numCache>
            </c:numRef>
          </c:cat>
          <c:val>
            <c:numRef>
              <c:f>'TMR 2. Lakt.'!$H$5:$H$13</c:f>
              <c:numCache>
                <c:formatCode>0</c:formatCode>
                <c:ptCount val="9"/>
                <c:pt idx="0">
                  <c:v>187.68</c:v>
                </c:pt>
                <c:pt idx="1">
                  <c:v>197.53200000000001</c:v>
                </c:pt>
                <c:pt idx="2">
                  <c:v>194.24799999999999</c:v>
                </c:pt>
                <c:pt idx="3">
                  <c:v>181.11199999999999</c:v>
                </c:pt>
                <c:pt idx="4">
                  <c:v>164.69199999999998</c:v>
                </c:pt>
                <c:pt idx="5">
                  <c:v>154.84</c:v>
                </c:pt>
                <c:pt idx="6">
                  <c:v>138.41999999999999</c:v>
                </c:pt>
                <c:pt idx="7">
                  <c:v>118.71600000000001</c:v>
                </c:pt>
                <c:pt idx="8">
                  <c:v>108.864</c:v>
                </c:pt>
              </c:numCache>
            </c:numRef>
          </c:val>
        </c:ser>
        <c:ser>
          <c:idx val="1"/>
          <c:order val="1"/>
          <c:tx>
            <c:strRef>
              <c:f>'TMR 2. Lakt.'!$I$4</c:f>
              <c:strCache>
                <c:ptCount val="1"/>
                <c:pt idx="0">
                  <c:v>Energieaufnahme</c:v>
                </c:pt>
              </c:strCache>
            </c:strRef>
          </c:tx>
          <c:spPr>
            <a:noFill/>
            <a:ln w="25400">
              <a:solidFill>
                <a:schemeClr val="tx1">
                  <a:lumMod val="75000"/>
                  <a:lumOff val="25000"/>
                </a:schemeClr>
              </a:solidFill>
            </a:ln>
          </c:spPr>
          <c:val>
            <c:numRef>
              <c:f>'TMR 2. Lakt.'!$I$5:$I$13</c:f>
              <c:numCache>
                <c:formatCode>0</c:formatCode>
                <c:ptCount val="9"/>
                <c:pt idx="0">
                  <c:v>173.4215908272771</c:v>
                </c:pt>
                <c:pt idx="1">
                  <c:v>184.56351534463622</c:v>
                </c:pt>
                <c:pt idx="2">
                  <c:v>187.54340054359409</c:v>
                </c:pt>
                <c:pt idx="3">
                  <c:v>185.37432973596216</c:v>
                </c:pt>
                <c:pt idx="4">
                  <c:v>177.40677261899259</c:v>
                </c:pt>
                <c:pt idx="5">
                  <c:v>170.99371999649657</c:v>
                </c:pt>
                <c:pt idx="6">
                  <c:v>159.90907123274542</c:v>
                </c:pt>
                <c:pt idx="7">
                  <c:v>147.00133888132174</c:v>
                </c:pt>
                <c:pt idx="8">
                  <c:v>141.749903748512</c:v>
                </c:pt>
              </c:numCache>
            </c:numRef>
          </c:val>
        </c:ser>
        <c:dLbls>
          <c:showLegendKey val="0"/>
          <c:showVal val="0"/>
          <c:showCatName val="0"/>
          <c:showSerName val="0"/>
          <c:showPercent val="0"/>
          <c:showBubbleSize val="0"/>
        </c:dLbls>
        <c:axId val="277108992"/>
        <c:axId val="277140608"/>
      </c:areaChart>
      <c:catAx>
        <c:axId val="277108992"/>
        <c:scaling>
          <c:orientation val="minMax"/>
        </c:scaling>
        <c:delete val="0"/>
        <c:axPos val="b"/>
        <c:title>
          <c:tx>
            <c:strRef>
              <c:f>'1. Laktation'!$B$15</c:f>
              <c:strCache>
                <c:ptCount val="1"/>
                <c:pt idx="0">
                  <c:v>Laktationstag</c:v>
                </c:pt>
              </c:strCache>
            </c:strRef>
          </c:tx>
          <c:layout>
            <c:manualLayout>
              <c:xMode val="edge"/>
              <c:yMode val="edge"/>
              <c:x val="0.41186910663944792"/>
              <c:y val="0.92442332208473943"/>
            </c:manualLayout>
          </c:layout>
          <c:overlay val="0"/>
          <c:txPr>
            <a:bodyPr/>
            <a:lstStyle/>
            <a:p>
              <a:pPr>
                <a:defRPr>
                  <a:solidFill>
                    <a:schemeClr val="bg1"/>
                  </a:solidFill>
                </a:defRPr>
              </a:pPr>
              <a:endParaRPr lang="de-DE"/>
            </a:p>
          </c:txPr>
        </c:title>
        <c:numFmt formatCode="General" sourceLinked="1"/>
        <c:majorTickMark val="out"/>
        <c:minorTickMark val="none"/>
        <c:tickLblPos val="nextTo"/>
        <c:txPr>
          <a:bodyPr/>
          <a:lstStyle/>
          <a:p>
            <a:pPr>
              <a:defRPr b="1"/>
            </a:pPr>
            <a:endParaRPr lang="de-DE"/>
          </a:p>
        </c:txPr>
        <c:crossAx val="277140608"/>
        <c:crosses val="autoZero"/>
        <c:auto val="1"/>
        <c:lblAlgn val="ctr"/>
        <c:lblOffset val="100"/>
        <c:noMultiLvlLbl val="0"/>
      </c:catAx>
      <c:valAx>
        <c:axId val="277140608"/>
        <c:scaling>
          <c:orientation val="minMax"/>
          <c:min val="75"/>
        </c:scaling>
        <c:delete val="0"/>
        <c:axPos val="l"/>
        <c:majorGridlines/>
        <c:title>
          <c:tx>
            <c:rich>
              <a:bodyPr rot="0" vert="horz"/>
              <a:lstStyle/>
              <a:p>
                <a:pPr algn="l">
                  <a:defRPr/>
                </a:pPr>
                <a:r>
                  <a:rPr lang="de-DE"/>
                  <a:t>Bedarf</a:t>
                </a:r>
              </a:p>
              <a:p>
                <a:pPr algn="l">
                  <a:defRPr/>
                </a:pPr>
                <a:r>
                  <a:rPr lang="de-DE"/>
                  <a:t>MJ</a:t>
                </a:r>
                <a:r>
                  <a:rPr lang="de-DE" baseline="0"/>
                  <a:t> NEL</a:t>
                </a:r>
                <a:endParaRPr lang="de-DE"/>
              </a:p>
            </c:rich>
          </c:tx>
          <c:layout>
            <c:manualLayout>
              <c:xMode val="edge"/>
              <c:yMode val="edge"/>
              <c:x val="0"/>
              <c:y val="2.475403074615673E-2"/>
            </c:manualLayout>
          </c:layout>
          <c:overlay val="0"/>
        </c:title>
        <c:numFmt formatCode="0" sourceLinked="1"/>
        <c:majorTickMark val="out"/>
        <c:minorTickMark val="none"/>
        <c:tickLblPos val="nextTo"/>
        <c:spPr>
          <a:noFill/>
        </c:spPr>
        <c:txPr>
          <a:bodyPr/>
          <a:lstStyle/>
          <a:p>
            <a:pPr>
              <a:defRPr b="1"/>
            </a:pPr>
            <a:endParaRPr lang="de-DE"/>
          </a:p>
        </c:txPr>
        <c:crossAx val="277108992"/>
        <c:crosses val="autoZero"/>
        <c:crossBetween val="midCat"/>
      </c:valAx>
      <c:spPr>
        <a:gradFill rotWithShape="1">
          <a:gsLst>
            <a:gs pos="0">
              <a:schemeClr val="bg1">
                <a:lumMod val="75000"/>
              </a:schemeClr>
            </a:gs>
            <a:gs pos="35000">
              <a:schemeClr val="bg1">
                <a:lumMod val="85000"/>
              </a:schemeClr>
            </a:gs>
            <a:gs pos="100000">
              <a:schemeClr val="bg1">
                <a:lumMod val="95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plotArea>
    <c:legend>
      <c:legendPos val="t"/>
      <c:layout>
        <c:manualLayout>
          <c:xMode val="edge"/>
          <c:yMode val="edge"/>
          <c:x val="0.65952172645086027"/>
          <c:y val="0.2"/>
          <c:w val="0.28411806163118497"/>
          <c:h val="0.12887251593550805"/>
        </c:manualLayout>
      </c:layout>
      <c:overlay val="0"/>
      <c:spPr>
        <a:solidFill>
          <a:schemeClr val="bg1"/>
        </a:solidFill>
      </c:spPr>
      <c:txPr>
        <a:bodyPr/>
        <a:lstStyle/>
        <a:p>
          <a:pPr>
            <a:defRPr>
              <a:solidFill>
                <a:schemeClr val="tx1"/>
              </a:solidFill>
            </a:defRPr>
          </a:pPr>
          <a:endParaRPr lang="de-DE"/>
        </a:p>
      </c:txPr>
    </c:legend>
    <c:plotVisOnly val="1"/>
    <c:dispBlanksAs val="gap"/>
    <c:showDLblsOverMax val="0"/>
  </c:chart>
  <c:spPr>
    <a:solidFill>
      <a:srgbClr val="90A52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a:lstStyle/>
    <a:p>
      <a:pPr>
        <a:defRPr>
          <a:solidFill>
            <a:schemeClr val="bg1"/>
          </a:solidFill>
          <a:latin typeface="Arial" panose="020B0604020202020204" pitchFamily="34" charset="0"/>
          <a:ea typeface="+mn-ea"/>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29"/>
    </mc:Choice>
    <mc:Fallback>
      <c:style val="29"/>
    </mc:Fallback>
  </mc:AlternateContent>
  <c:chart>
    <c:title>
      <c:tx>
        <c:strRef>
          <c:f>'1. Laktation'!$G$4</c:f>
          <c:strCache>
            <c:ptCount val="1"/>
            <c:pt idx="0">
              <c:v>Energiebilanz</c:v>
            </c:pt>
          </c:strCache>
        </c:strRef>
      </c:tx>
      <c:layout>
        <c:manualLayout>
          <c:xMode val="edge"/>
          <c:yMode val="edge"/>
          <c:x val="0.37958356296760459"/>
          <c:y val="5.0476190476190473E-2"/>
        </c:manualLayout>
      </c:layout>
      <c:overlay val="1"/>
      <c:txPr>
        <a:bodyPr/>
        <a:lstStyle/>
        <a:p>
          <a:pPr>
            <a:defRPr sz="1600"/>
          </a:pPr>
          <a:endParaRPr lang="de-DE"/>
        </a:p>
      </c:txPr>
    </c:title>
    <c:autoTitleDeleted val="0"/>
    <c:plotArea>
      <c:layout>
        <c:manualLayout>
          <c:layoutTarget val="inner"/>
          <c:xMode val="edge"/>
          <c:yMode val="edge"/>
          <c:x val="9.8968202888484569E-2"/>
          <c:y val="0.18323622047244095"/>
          <c:w val="0.87020693508081881"/>
          <c:h val="0.66099362579677545"/>
        </c:manualLayout>
      </c:layout>
      <c:areaChart>
        <c:grouping val="standard"/>
        <c:varyColors val="0"/>
        <c:ser>
          <c:idx val="0"/>
          <c:order val="0"/>
          <c:tx>
            <c:strRef>
              <c:f>'TMR ab 4. Lakt.'!$H$4</c:f>
              <c:strCache>
                <c:ptCount val="1"/>
                <c:pt idx="0">
                  <c:v>Energiebedarf</c:v>
                </c:pt>
              </c:strCache>
            </c:strRef>
          </c:tx>
          <c:spPr>
            <a:solidFill>
              <a:srgbClr val="CED400"/>
            </a:solidFill>
            <a:ln w="25400">
              <a:solidFill>
                <a:srgbClr val="90A52C"/>
              </a:solidFill>
            </a:ln>
            <a:scene3d>
              <a:camera prst="orthographicFront"/>
              <a:lightRig rig="threePt" dir="t">
                <a:rot lat="0" lon="0" rev="1200000"/>
              </a:lightRig>
            </a:scene3d>
            <a:sp3d/>
          </c:spPr>
          <c:cat>
            <c:numRef>
              <c:f>'1. Laktation'!$B$16:$B$24</c:f>
              <c:numCache>
                <c:formatCode>General</c:formatCode>
                <c:ptCount val="9"/>
                <c:pt idx="0">
                  <c:v>20</c:v>
                </c:pt>
                <c:pt idx="1">
                  <c:v>40</c:v>
                </c:pt>
                <c:pt idx="2">
                  <c:v>60</c:v>
                </c:pt>
                <c:pt idx="3">
                  <c:v>100</c:v>
                </c:pt>
                <c:pt idx="4">
                  <c:v>150</c:v>
                </c:pt>
                <c:pt idx="5">
                  <c:v>200</c:v>
                </c:pt>
                <c:pt idx="6">
                  <c:v>250</c:v>
                </c:pt>
                <c:pt idx="7">
                  <c:v>300</c:v>
                </c:pt>
                <c:pt idx="8">
                  <c:v>350</c:v>
                </c:pt>
              </c:numCache>
            </c:numRef>
          </c:cat>
          <c:val>
            <c:numRef>
              <c:f>'TMR ab 4. Lakt.'!$H$5:$H$13</c:f>
              <c:numCache>
                <c:formatCode>0</c:formatCode>
                <c:ptCount val="9"/>
                <c:pt idx="0">
                  <c:v>180.02799999999999</c:v>
                </c:pt>
                <c:pt idx="1">
                  <c:v>186.59599999999998</c:v>
                </c:pt>
                <c:pt idx="2">
                  <c:v>183.31199999999998</c:v>
                </c:pt>
                <c:pt idx="3">
                  <c:v>170.17599999999999</c:v>
                </c:pt>
                <c:pt idx="4">
                  <c:v>157.04</c:v>
                </c:pt>
                <c:pt idx="5">
                  <c:v>143.904</c:v>
                </c:pt>
                <c:pt idx="6">
                  <c:v>130.768</c:v>
                </c:pt>
                <c:pt idx="7">
                  <c:v>111.06399999999999</c:v>
                </c:pt>
                <c:pt idx="8">
                  <c:v>101.21199999999999</c:v>
                </c:pt>
              </c:numCache>
            </c:numRef>
          </c:val>
        </c:ser>
        <c:ser>
          <c:idx val="1"/>
          <c:order val="1"/>
          <c:tx>
            <c:strRef>
              <c:f>'TMR ab 4. Lakt.'!$I$4</c:f>
              <c:strCache>
                <c:ptCount val="1"/>
                <c:pt idx="0">
                  <c:v>Energieaufnahme</c:v>
                </c:pt>
              </c:strCache>
            </c:strRef>
          </c:tx>
          <c:spPr>
            <a:noFill/>
            <a:ln w="25400">
              <a:solidFill>
                <a:schemeClr val="tx1">
                  <a:lumMod val="75000"/>
                  <a:lumOff val="25000"/>
                </a:schemeClr>
              </a:solidFill>
            </a:ln>
          </c:spPr>
          <c:val>
            <c:numRef>
              <c:f>'TMR ab 4. Lakt.'!$I$5:$I$13</c:f>
              <c:numCache>
                <c:formatCode>0</c:formatCode>
                <c:ptCount val="9"/>
                <c:pt idx="0">
                  <c:v>157.76100258733203</c:v>
                </c:pt>
                <c:pt idx="1">
                  <c:v>166.26239152086691</c:v>
                </c:pt>
                <c:pt idx="2">
                  <c:v>168.38207651851786</c:v>
                </c:pt>
                <c:pt idx="3">
                  <c:v>165.00756906035122</c:v>
                </c:pt>
                <c:pt idx="4">
                  <c:v>157.92541156863729</c:v>
                </c:pt>
                <c:pt idx="5">
                  <c:v>148.95816990594841</c:v>
                </c:pt>
                <c:pt idx="6">
                  <c:v>139.76077605811679</c:v>
                </c:pt>
                <c:pt idx="7">
                  <c:v>127.15063079777843</c:v>
                </c:pt>
                <c:pt idx="8">
                  <c:v>122.16759011391056</c:v>
                </c:pt>
              </c:numCache>
            </c:numRef>
          </c:val>
        </c:ser>
        <c:dLbls>
          <c:showLegendKey val="0"/>
          <c:showVal val="0"/>
          <c:showCatName val="0"/>
          <c:showSerName val="0"/>
          <c:showPercent val="0"/>
          <c:showBubbleSize val="0"/>
        </c:dLbls>
        <c:axId val="277514880"/>
        <c:axId val="277893888"/>
      </c:areaChart>
      <c:catAx>
        <c:axId val="277514880"/>
        <c:scaling>
          <c:orientation val="minMax"/>
        </c:scaling>
        <c:delete val="0"/>
        <c:axPos val="b"/>
        <c:title>
          <c:tx>
            <c:strRef>
              <c:f>'1. Laktation'!$B$15</c:f>
              <c:strCache>
                <c:ptCount val="1"/>
                <c:pt idx="0">
                  <c:v>Laktationstag</c:v>
                </c:pt>
              </c:strCache>
            </c:strRef>
          </c:tx>
          <c:layout>
            <c:manualLayout>
              <c:xMode val="edge"/>
              <c:yMode val="edge"/>
              <c:x val="0.41186910663944792"/>
              <c:y val="0.92442332208473943"/>
            </c:manualLayout>
          </c:layout>
          <c:overlay val="0"/>
          <c:txPr>
            <a:bodyPr/>
            <a:lstStyle/>
            <a:p>
              <a:pPr>
                <a:defRPr>
                  <a:solidFill>
                    <a:schemeClr val="bg1"/>
                  </a:solidFill>
                </a:defRPr>
              </a:pPr>
              <a:endParaRPr lang="de-DE"/>
            </a:p>
          </c:txPr>
        </c:title>
        <c:numFmt formatCode="General" sourceLinked="1"/>
        <c:majorTickMark val="out"/>
        <c:minorTickMark val="none"/>
        <c:tickLblPos val="nextTo"/>
        <c:txPr>
          <a:bodyPr/>
          <a:lstStyle/>
          <a:p>
            <a:pPr>
              <a:defRPr b="1"/>
            </a:pPr>
            <a:endParaRPr lang="de-DE"/>
          </a:p>
        </c:txPr>
        <c:crossAx val="277893888"/>
        <c:crosses val="autoZero"/>
        <c:auto val="1"/>
        <c:lblAlgn val="ctr"/>
        <c:lblOffset val="100"/>
        <c:noMultiLvlLbl val="0"/>
      </c:catAx>
      <c:valAx>
        <c:axId val="277893888"/>
        <c:scaling>
          <c:orientation val="minMax"/>
          <c:min val="75"/>
        </c:scaling>
        <c:delete val="0"/>
        <c:axPos val="l"/>
        <c:majorGridlines/>
        <c:title>
          <c:tx>
            <c:rich>
              <a:bodyPr rot="0" vert="horz"/>
              <a:lstStyle/>
              <a:p>
                <a:pPr algn="l">
                  <a:defRPr/>
                </a:pPr>
                <a:r>
                  <a:rPr lang="de-DE"/>
                  <a:t>Bedarf</a:t>
                </a:r>
              </a:p>
              <a:p>
                <a:pPr algn="l">
                  <a:defRPr/>
                </a:pPr>
                <a:r>
                  <a:rPr lang="de-DE"/>
                  <a:t>MJ</a:t>
                </a:r>
                <a:r>
                  <a:rPr lang="de-DE" baseline="0"/>
                  <a:t> NEL</a:t>
                </a:r>
                <a:endParaRPr lang="de-DE"/>
              </a:p>
            </c:rich>
          </c:tx>
          <c:layout>
            <c:manualLayout>
              <c:xMode val="edge"/>
              <c:yMode val="edge"/>
              <c:x val="0"/>
              <c:y val="2.475403074615673E-2"/>
            </c:manualLayout>
          </c:layout>
          <c:overlay val="0"/>
        </c:title>
        <c:numFmt formatCode="0" sourceLinked="1"/>
        <c:majorTickMark val="out"/>
        <c:minorTickMark val="none"/>
        <c:tickLblPos val="nextTo"/>
        <c:spPr>
          <a:noFill/>
        </c:spPr>
        <c:txPr>
          <a:bodyPr/>
          <a:lstStyle/>
          <a:p>
            <a:pPr>
              <a:defRPr b="1"/>
            </a:pPr>
            <a:endParaRPr lang="de-DE"/>
          </a:p>
        </c:txPr>
        <c:crossAx val="277514880"/>
        <c:crosses val="autoZero"/>
        <c:crossBetween val="midCat"/>
      </c:valAx>
      <c:spPr>
        <a:gradFill rotWithShape="1">
          <a:gsLst>
            <a:gs pos="0">
              <a:schemeClr val="bg1">
                <a:lumMod val="75000"/>
              </a:schemeClr>
            </a:gs>
            <a:gs pos="35000">
              <a:schemeClr val="bg1">
                <a:lumMod val="85000"/>
              </a:schemeClr>
            </a:gs>
            <a:gs pos="100000">
              <a:schemeClr val="bg1">
                <a:lumMod val="95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plotArea>
    <c:legend>
      <c:legendPos val="t"/>
      <c:layout>
        <c:manualLayout>
          <c:xMode val="edge"/>
          <c:yMode val="edge"/>
          <c:x val="0.65952172645086027"/>
          <c:y val="0.2"/>
          <c:w val="0.28411806163118497"/>
          <c:h val="0.12887251593550805"/>
        </c:manualLayout>
      </c:layout>
      <c:overlay val="0"/>
      <c:spPr>
        <a:solidFill>
          <a:schemeClr val="bg1"/>
        </a:solidFill>
      </c:spPr>
      <c:txPr>
        <a:bodyPr/>
        <a:lstStyle/>
        <a:p>
          <a:pPr>
            <a:defRPr>
              <a:solidFill>
                <a:schemeClr val="tx1"/>
              </a:solidFill>
            </a:defRPr>
          </a:pPr>
          <a:endParaRPr lang="de-DE"/>
        </a:p>
      </c:txPr>
    </c:legend>
    <c:plotVisOnly val="1"/>
    <c:dispBlanksAs val="gap"/>
    <c:showDLblsOverMax val="0"/>
  </c:chart>
  <c:spPr>
    <a:solidFill>
      <a:srgbClr val="90A52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a:lstStyle/>
    <a:p>
      <a:pPr>
        <a:defRPr>
          <a:solidFill>
            <a:schemeClr val="bg1"/>
          </a:solidFill>
          <a:latin typeface="Arial" panose="020B0604020202020204" pitchFamily="34" charset="0"/>
          <a:ea typeface="+mn-ea"/>
          <a:cs typeface="Arial" panose="020B0604020202020204" pitchFamily="34" charset="0"/>
        </a:defRPr>
      </a:pPr>
      <a:endParaRPr lang="de-DE"/>
    </a:p>
  </c:txPr>
  <c:printSettings>
    <c:headerFooter/>
    <c:pageMargins b="0.78740157499999996" l="0.7" r="0.7" t="0.78740157499999996" header="0.3" footer="0.3"/>
    <c:pageSetup/>
  </c:printSettings>
</c:chartSpace>
</file>

<file path=xl/ctrlProps/ctrlProp1.xml><?xml version="1.0" encoding="utf-8"?>
<formControlPr xmlns="http://schemas.microsoft.com/office/spreadsheetml/2009/9/main" objectType="Drop" dropLines="25" dropStyle="combo" dx="16" fmlaLink="$C$4" fmlaRange="Lakkurve!$B$31:$B$34" val="0"/>
</file>

<file path=xl/ctrlProps/ctrlProp10.xml><?xml version="1.0" encoding="utf-8"?>
<formControlPr xmlns="http://schemas.microsoft.com/office/spreadsheetml/2009/9/main" objectType="Spin" dx="16" fmlaLink="$K$20" inc="5" max="150" page="10" val="75"/>
</file>

<file path=xl/ctrlProps/ctrlProp11.xml><?xml version="1.0" encoding="utf-8"?>
<formControlPr xmlns="http://schemas.microsoft.com/office/spreadsheetml/2009/9/main" objectType="Spin" dx="16" fmlaLink="$K$21" inc="5" max="150" page="10" val="60"/>
</file>

<file path=xl/ctrlProps/ctrlProp12.xml><?xml version="1.0" encoding="utf-8"?>
<formControlPr xmlns="http://schemas.microsoft.com/office/spreadsheetml/2009/9/main" objectType="Spin" dx="16" fmlaLink="$K$22" inc="5" max="150" page="10" val="55"/>
</file>

<file path=xl/ctrlProps/ctrlProp13.xml><?xml version="1.0" encoding="utf-8"?>
<formControlPr xmlns="http://schemas.microsoft.com/office/spreadsheetml/2009/9/main" objectType="Spin" dx="16" fmlaLink="$K$23" inc="5" max="150" page="10" val="40"/>
</file>

<file path=xl/ctrlProps/ctrlProp14.xml><?xml version="1.0" encoding="utf-8"?>
<formControlPr xmlns="http://schemas.microsoft.com/office/spreadsheetml/2009/9/main" objectType="Spin" dx="16" fmlaLink="$K$24" inc="5" max="150" page="10" val="20"/>
</file>

<file path=xl/ctrlProps/ctrlProp15.xml><?xml version="1.0" encoding="utf-8"?>
<formControlPr xmlns="http://schemas.microsoft.com/office/spreadsheetml/2009/9/main" objectType="Spin" dx="16" fmlaLink="$K$6" max="38" min="30" page="10" val="34"/>
</file>

<file path=xl/ctrlProps/ctrlProp16.xml><?xml version="1.0" encoding="utf-8"?>
<formControlPr xmlns="http://schemas.microsoft.com/office/spreadsheetml/2009/9/main" objectType="Spin" dx="16" fmlaLink="$K$8" max="55" min="35" page="10" val="40"/>
</file>

<file path=xl/ctrlProps/ctrlProp17.xml><?xml version="1.0" encoding="utf-8"?>
<formControlPr xmlns="http://schemas.microsoft.com/office/spreadsheetml/2009/9/main" objectType="Drop" dropLines="25" dropStyle="combo" dx="16" fmlaLink="$C$4" fmlaRange="Lakkurve!$B$31:$B$34" sel="2" val="0"/>
</file>

<file path=xl/ctrlProps/ctrlProp18.xml><?xml version="1.0" encoding="utf-8"?>
<formControlPr xmlns="http://schemas.microsoft.com/office/spreadsheetml/2009/9/main" objectType="Spin" dx="16" fmlaLink="$C$10" inc="10" max="750" min="550" page="10" val="700"/>
</file>

<file path=xl/ctrlProps/ctrlProp19.xml><?xml version="1.0" encoding="utf-8"?>
<formControlPr xmlns="http://schemas.microsoft.com/office/spreadsheetml/2009/9/main" objectType="Drop" dropLines="25" dropStyle="combo" dx="16" fmlaLink="$C$5" fmlaRange="Lakkurve!$B$18:$B$28" sel="9" val="0"/>
</file>

<file path=xl/ctrlProps/ctrlProp2.xml><?xml version="1.0" encoding="utf-8"?>
<formControlPr xmlns="http://schemas.microsoft.com/office/spreadsheetml/2009/9/main" objectType="Spin" dx="16" fmlaLink="$C$10" inc="10" max="750" min="550" page="10" val="590"/>
</file>

<file path=xl/ctrlProps/ctrlProp20.xml><?xml version="1.0" encoding="utf-8"?>
<formControlPr xmlns="http://schemas.microsoft.com/office/spreadsheetml/2009/9/main" objectType="Spin" dx="16" fmlaLink="$K$16" inc="5" max="150" page="10" val="90"/>
</file>

<file path=xl/ctrlProps/ctrlProp21.xml><?xml version="1.0" encoding="utf-8"?>
<formControlPr xmlns="http://schemas.microsoft.com/office/spreadsheetml/2009/9/main" objectType="Spin" dx="16" fmlaLink="$K$12" max="75" min="60" page="10" val="70"/>
</file>

<file path=xl/ctrlProps/ctrlProp22.xml><?xml version="1.0" encoding="utf-8"?>
<formControlPr xmlns="http://schemas.microsoft.com/office/spreadsheetml/2009/9/main" objectType="Spin" dx="16" fmlaLink="$K$13" max="70" min="45" page="10" val="67"/>
</file>

<file path=xl/ctrlProps/ctrlProp23.xml><?xml version="1.0" encoding="utf-8"?>
<formControlPr xmlns="http://schemas.microsoft.com/office/spreadsheetml/2009/9/main" objectType="Spin" dx="16" fmlaLink="$K$17" inc="5" max="150" page="10" val="100"/>
</file>

<file path=xl/ctrlProps/ctrlProp24.xml><?xml version="1.0" encoding="utf-8"?>
<formControlPr xmlns="http://schemas.microsoft.com/office/spreadsheetml/2009/9/main" objectType="Spin" dx="16" fmlaLink="$K$18" inc="5" max="150" page="10" val="100"/>
</file>

<file path=xl/ctrlProps/ctrlProp25.xml><?xml version="1.0" encoding="utf-8"?>
<formControlPr xmlns="http://schemas.microsoft.com/office/spreadsheetml/2009/9/main" objectType="Spin" dx="16" fmlaLink="$K$19" inc="5" max="150" page="10" val="90"/>
</file>

<file path=xl/ctrlProps/ctrlProp26.xml><?xml version="1.0" encoding="utf-8"?>
<formControlPr xmlns="http://schemas.microsoft.com/office/spreadsheetml/2009/9/main" objectType="Spin" dx="16" fmlaLink="$K$20" inc="5" max="150" page="10" val="65"/>
</file>

<file path=xl/ctrlProps/ctrlProp27.xml><?xml version="1.0" encoding="utf-8"?>
<formControlPr xmlns="http://schemas.microsoft.com/office/spreadsheetml/2009/9/main" objectType="Spin" dx="16" fmlaLink="$K$21" inc="5" max="150" page="10" val="45"/>
</file>

<file path=xl/ctrlProps/ctrlProp28.xml><?xml version="1.0" encoding="utf-8"?>
<formControlPr xmlns="http://schemas.microsoft.com/office/spreadsheetml/2009/9/main" objectType="Spin" dx="16" fmlaLink="$K$22" inc="5" max="150" page="10" val="20"/>
</file>

<file path=xl/ctrlProps/ctrlProp29.xml><?xml version="1.0" encoding="utf-8"?>
<formControlPr xmlns="http://schemas.microsoft.com/office/spreadsheetml/2009/9/main" objectType="Spin" dx="16" fmlaLink="$K$23" inc="5" max="150" page="10" val="0"/>
</file>

<file path=xl/ctrlProps/ctrlProp3.xml><?xml version="1.0" encoding="utf-8"?>
<formControlPr xmlns="http://schemas.microsoft.com/office/spreadsheetml/2009/9/main" objectType="Drop" dropLines="25" dropStyle="combo" dx="16" fmlaLink="$C$5" fmlaRange="Lakkurve!$B$18:$B$26" sel="4" val="0"/>
</file>

<file path=xl/ctrlProps/ctrlProp30.xml><?xml version="1.0" encoding="utf-8"?>
<formControlPr xmlns="http://schemas.microsoft.com/office/spreadsheetml/2009/9/main" objectType="Spin" dx="16" fmlaLink="$K$24" inc="5" max="150" page="10" val="0"/>
</file>

<file path=xl/ctrlProps/ctrlProp31.xml><?xml version="1.0" encoding="utf-8"?>
<formControlPr xmlns="http://schemas.microsoft.com/office/spreadsheetml/2009/9/main" objectType="Spin" dx="16" fmlaLink="$K$6" max="38" min="30" page="10" val="34"/>
</file>

<file path=xl/ctrlProps/ctrlProp32.xml><?xml version="1.0" encoding="utf-8"?>
<formControlPr xmlns="http://schemas.microsoft.com/office/spreadsheetml/2009/9/main" objectType="Spin" dx="16" fmlaLink="$K$8" max="55" min="35" page="10" val="40"/>
</file>

<file path=xl/ctrlProps/ctrlProp33.xml><?xml version="1.0" encoding="utf-8"?>
<formControlPr xmlns="http://schemas.microsoft.com/office/spreadsheetml/2009/9/main" objectType="Drop" dropLines="25" dropStyle="combo" dx="16" fmlaLink="$C$4" fmlaRange="Lakkurve!$B$31:$B$34" val="0"/>
</file>

<file path=xl/ctrlProps/ctrlProp34.xml><?xml version="1.0" encoding="utf-8"?>
<formControlPr xmlns="http://schemas.microsoft.com/office/spreadsheetml/2009/9/main" objectType="Spin" dx="16" fmlaLink="$C$10" inc="10" max="750" min="550" page="10" val="650"/>
</file>

<file path=xl/ctrlProps/ctrlProp35.xml><?xml version="1.0" encoding="utf-8"?>
<formControlPr xmlns="http://schemas.microsoft.com/office/spreadsheetml/2009/9/main" objectType="Drop" dropLines="25" dropStyle="combo" dx="16" fmlaLink="$C$5" fmlaRange="Lakkurve!$B$18:$B$26" sel="7" val="0"/>
</file>

<file path=xl/ctrlProps/ctrlProp36.xml><?xml version="1.0" encoding="utf-8"?>
<formControlPr xmlns="http://schemas.microsoft.com/office/spreadsheetml/2009/9/main" objectType="Spin" dx="16" fmlaLink="$K$16" inc="5" max="150" page="10" val="80"/>
</file>

<file path=xl/ctrlProps/ctrlProp37.xml><?xml version="1.0" encoding="utf-8"?>
<formControlPr xmlns="http://schemas.microsoft.com/office/spreadsheetml/2009/9/main" objectType="Spin" dx="16" fmlaLink="$K$12" max="75" min="60" page="10" val="70"/>
</file>

<file path=xl/ctrlProps/ctrlProp38.xml><?xml version="1.0" encoding="utf-8"?>
<formControlPr xmlns="http://schemas.microsoft.com/office/spreadsheetml/2009/9/main" objectType="Spin" dx="16" fmlaLink="$K$13" max="70" min="45" page="10" val="62"/>
</file>

<file path=xl/ctrlProps/ctrlProp39.xml><?xml version="1.0" encoding="utf-8"?>
<formControlPr xmlns="http://schemas.microsoft.com/office/spreadsheetml/2009/9/main" objectType="Spin" dx="16" fmlaLink="$K$17" inc="5" max="150" page="10" val="110"/>
</file>

<file path=xl/ctrlProps/ctrlProp4.xml><?xml version="1.0" encoding="utf-8"?>
<formControlPr xmlns="http://schemas.microsoft.com/office/spreadsheetml/2009/9/main" objectType="Spin" dx="16" fmlaLink="$K$16" inc="5" max="150" page="10" val="75"/>
</file>

<file path=xl/ctrlProps/ctrlProp40.xml><?xml version="1.0" encoding="utf-8"?>
<formControlPr xmlns="http://schemas.microsoft.com/office/spreadsheetml/2009/9/main" objectType="Spin" dx="16" fmlaLink="$K$18" inc="5" max="150" page="10" val="110"/>
</file>

<file path=xl/ctrlProps/ctrlProp41.xml><?xml version="1.0" encoding="utf-8"?>
<formControlPr xmlns="http://schemas.microsoft.com/office/spreadsheetml/2009/9/main" objectType="Spin" dx="16" fmlaLink="$K$19" inc="5" max="150" page="10" val="105"/>
</file>

<file path=xl/ctrlProps/ctrlProp42.xml><?xml version="1.0" encoding="utf-8"?>
<formControlPr xmlns="http://schemas.microsoft.com/office/spreadsheetml/2009/9/main" objectType="Spin" dx="16" fmlaLink="$K$20" inc="5" max="150" page="10" val="90"/>
</file>

<file path=xl/ctrlProps/ctrlProp43.xml><?xml version="1.0" encoding="utf-8"?>
<formControlPr xmlns="http://schemas.microsoft.com/office/spreadsheetml/2009/9/main" objectType="Spin" dx="16" fmlaLink="$K$21" inc="5" max="150" page="10" val="65"/>
</file>

<file path=xl/ctrlProps/ctrlProp44.xml><?xml version="1.0" encoding="utf-8"?>
<formControlPr xmlns="http://schemas.microsoft.com/office/spreadsheetml/2009/9/main" objectType="Spin" dx="16" fmlaLink="$K$22" inc="5" max="150" page="10" val="35"/>
</file>

<file path=xl/ctrlProps/ctrlProp45.xml><?xml version="1.0" encoding="utf-8"?>
<formControlPr xmlns="http://schemas.microsoft.com/office/spreadsheetml/2009/9/main" objectType="Spin" dx="16" fmlaLink="$K$23" inc="5" max="150" page="10" val="0"/>
</file>

<file path=xl/ctrlProps/ctrlProp46.xml><?xml version="1.0" encoding="utf-8"?>
<formControlPr xmlns="http://schemas.microsoft.com/office/spreadsheetml/2009/9/main" objectType="Spin" dx="16" fmlaLink="$K$24" inc="5" max="150" page="10" val="0"/>
</file>

<file path=xl/ctrlProps/ctrlProp47.xml><?xml version="1.0" encoding="utf-8"?>
<formControlPr xmlns="http://schemas.microsoft.com/office/spreadsheetml/2009/9/main" objectType="Spin" dx="16" fmlaLink="$K$6" max="38" min="30" page="10" val="34"/>
</file>

<file path=xl/ctrlProps/ctrlProp48.xml><?xml version="1.0" encoding="utf-8"?>
<formControlPr xmlns="http://schemas.microsoft.com/office/spreadsheetml/2009/9/main" objectType="Spin" dx="16" fmlaLink="$K$8" max="55" min="35" page="10" val="40"/>
</file>

<file path=xl/ctrlProps/ctrlProp49.xml><?xml version="1.0" encoding="utf-8"?>
<formControlPr xmlns="http://schemas.microsoft.com/office/spreadsheetml/2009/9/main" objectType="Drop" dropLines="25" dropStyle="combo" dx="16" fmlaLink="$C$4" fmlaRange="Lakkurve!$B$31:$B$34" val="0"/>
</file>

<file path=xl/ctrlProps/ctrlProp5.xml><?xml version="1.0" encoding="utf-8"?>
<formControlPr xmlns="http://schemas.microsoft.com/office/spreadsheetml/2009/9/main" objectType="Spin" dx="16" fmlaLink="$K$12" max="75" min="60" page="10" val="70"/>
</file>

<file path=xl/ctrlProps/ctrlProp50.xml><?xml version="1.0" encoding="utf-8"?>
<formControlPr xmlns="http://schemas.microsoft.com/office/spreadsheetml/2009/9/main" objectType="Spin" dx="16" fmlaLink="$C$10" inc="10" max="750" min="550" page="10" val="610"/>
</file>

<file path=xl/ctrlProps/ctrlProp51.xml><?xml version="1.0" encoding="utf-8"?>
<formControlPr xmlns="http://schemas.microsoft.com/office/spreadsheetml/2009/9/main" objectType="Drop" dropLines="25" dropStyle="combo" dx="16" fmlaLink="$C$5" fmlaRange="Lakkurve!$B$18:$B$26" sel="7" val="0"/>
</file>

<file path=xl/ctrlProps/ctrlProp52.xml><?xml version="1.0" encoding="utf-8"?>
<formControlPr xmlns="http://schemas.microsoft.com/office/spreadsheetml/2009/9/main" objectType="Spin" dx="16" fmlaLink="$E$15" inc="5" max="65" page="10" val="40"/>
</file>

<file path=xl/ctrlProps/ctrlProp53.xml><?xml version="1.0" encoding="utf-8"?>
<formControlPr xmlns="http://schemas.microsoft.com/office/spreadsheetml/2009/9/main" objectType="Spin" dx="16" fmlaLink="$K$13" max="70" min="45" page="10" val="62"/>
</file>

<file path=xl/ctrlProps/ctrlProp54.xml><?xml version="1.0" encoding="utf-8"?>
<formControlPr xmlns="http://schemas.microsoft.com/office/spreadsheetml/2009/9/main" objectType="Spin" dx="16" fmlaLink="$K$6" max="38" min="30" page="10" val="34"/>
</file>

<file path=xl/ctrlProps/ctrlProp55.xml><?xml version="1.0" encoding="utf-8"?>
<formControlPr xmlns="http://schemas.microsoft.com/office/spreadsheetml/2009/9/main" objectType="Spin" dx="16" fmlaLink="$K$8" max="55" min="35" page="10" val="40"/>
</file>

<file path=xl/ctrlProps/ctrlProp56.xml><?xml version="1.0" encoding="utf-8"?>
<formControlPr xmlns="http://schemas.microsoft.com/office/spreadsheetml/2009/9/main" objectType="Spin" dx="16" fmlaLink="$K$12" max="75" min="60" page="10" val="67"/>
</file>

<file path=xl/ctrlProps/ctrlProp57.xml><?xml version="1.0" encoding="utf-8"?>
<formControlPr xmlns="http://schemas.microsoft.com/office/spreadsheetml/2009/9/main" objectType="Drop" dropLines="25" dropStyle="combo" dx="16" fmlaLink="$C$4" fmlaRange="Lakkurve!$B$31:$B$34" sel="2" val="0"/>
</file>

<file path=xl/ctrlProps/ctrlProp58.xml><?xml version="1.0" encoding="utf-8"?>
<formControlPr xmlns="http://schemas.microsoft.com/office/spreadsheetml/2009/9/main" objectType="Spin" dx="16" fmlaLink="$C$10" inc="10" max="750" min="550" page="10" val="700"/>
</file>

<file path=xl/ctrlProps/ctrlProp59.xml><?xml version="1.0" encoding="utf-8"?>
<formControlPr xmlns="http://schemas.microsoft.com/office/spreadsheetml/2009/9/main" objectType="Drop" dropLines="25" dropStyle="combo" dx="16" fmlaLink="$C$5" fmlaRange="Lakkurve!$B$18:$B$28" sel="11" val="0"/>
</file>

<file path=xl/ctrlProps/ctrlProp6.xml><?xml version="1.0" encoding="utf-8"?>
<formControlPr xmlns="http://schemas.microsoft.com/office/spreadsheetml/2009/9/main" objectType="Spin" dx="16" fmlaLink="$K$13" max="70" min="45" page="10" val="61"/>
</file>

<file path=xl/ctrlProps/ctrlProp60.xml><?xml version="1.0" encoding="utf-8"?>
<formControlPr xmlns="http://schemas.microsoft.com/office/spreadsheetml/2009/9/main" objectType="Spin" dx="16" fmlaLink="$E$15" inc="5" max="65" page="10" val="40"/>
</file>

<file path=xl/ctrlProps/ctrlProp61.xml><?xml version="1.0" encoding="utf-8"?>
<formControlPr xmlns="http://schemas.microsoft.com/office/spreadsheetml/2009/9/main" objectType="Spin" dx="16" fmlaLink="$S$13" max="70" min="45" page="10" val="67"/>
</file>

<file path=xl/ctrlProps/ctrlProp62.xml><?xml version="1.0" encoding="utf-8"?>
<formControlPr xmlns="http://schemas.microsoft.com/office/spreadsheetml/2009/9/main" objectType="Spin" dx="16" fmlaLink="$S$6" max="38" min="30" page="10" val="34"/>
</file>

<file path=xl/ctrlProps/ctrlProp63.xml><?xml version="1.0" encoding="utf-8"?>
<formControlPr xmlns="http://schemas.microsoft.com/office/spreadsheetml/2009/9/main" objectType="Spin" dx="16" fmlaLink="$S$8" max="55" min="35" page="10" val="40"/>
</file>

<file path=xl/ctrlProps/ctrlProp64.xml><?xml version="1.0" encoding="utf-8"?>
<formControlPr xmlns="http://schemas.microsoft.com/office/spreadsheetml/2009/9/main" objectType="Spin" dx="16" fmlaLink="$S$12" max="75" min="60" page="10" val="70"/>
</file>

<file path=xl/ctrlProps/ctrlProp65.xml><?xml version="1.0" encoding="utf-8"?>
<formControlPr xmlns="http://schemas.microsoft.com/office/spreadsheetml/2009/9/main" objectType="Drop" dropLines="25" dropStyle="combo" dx="16" fmlaLink="$C$4" fmlaRange="Lakkurve!$B$31:$B$34" sel="3" val="0"/>
</file>

<file path=xl/ctrlProps/ctrlProp66.xml><?xml version="1.0" encoding="utf-8"?>
<formControlPr xmlns="http://schemas.microsoft.com/office/spreadsheetml/2009/9/main" objectType="Spin" dx="16" fmlaLink="$C$10" inc="10" max="750" min="550" page="10" val="750"/>
</file>

<file path=xl/ctrlProps/ctrlProp67.xml><?xml version="1.0" encoding="utf-8"?>
<formControlPr xmlns="http://schemas.microsoft.com/office/spreadsheetml/2009/9/main" objectType="Drop" dropLines="25" dropStyle="combo" dx="16" fmlaLink="$C$5" fmlaRange="Lakkurve!$B$18:$B$28" sel="9" val="0"/>
</file>

<file path=xl/ctrlProps/ctrlProp68.xml><?xml version="1.0" encoding="utf-8"?>
<formControlPr xmlns="http://schemas.microsoft.com/office/spreadsheetml/2009/9/main" objectType="Spin" dx="16" fmlaLink="$E$15" inc="5" max="65" page="10" val="45"/>
</file>

<file path=xl/ctrlProps/ctrlProp69.xml><?xml version="1.0" encoding="utf-8"?>
<formControlPr xmlns="http://schemas.microsoft.com/office/spreadsheetml/2009/9/main" objectType="Spin" dx="16" fmlaLink="$K$13" max="70" min="45" page="10" val="63"/>
</file>

<file path=xl/ctrlProps/ctrlProp7.xml><?xml version="1.0" encoding="utf-8"?>
<formControlPr xmlns="http://schemas.microsoft.com/office/spreadsheetml/2009/9/main" objectType="Spin" dx="16" fmlaLink="$K$17" inc="5" max="150" page="10" val="90"/>
</file>

<file path=xl/ctrlProps/ctrlProp70.xml><?xml version="1.0" encoding="utf-8"?>
<formControlPr xmlns="http://schemas.microsoft.com/office/spreadsheetml/2009/9/main" objectType="Spin" dx="16" fmlaLink="$K$6" max="38" min="30" page="10" val="34"/>
</file>

<file path=xl/ctrlProps/ctrlProp71.xml><?xml version="1.0" encoding="utf-8"?>
<formControlPr xmlns="http://schemas.microsoft.com/office/spreadsheetml/2009/9/main" objectType="Spin" dx="16" fmlaLink="$K$8" max="55" min="35" page="10" val="40"/>
</file>

<file path=xl/ctrlProps/ctrlProp72.xml><?xml version="1.0" encoding="utf-8"?>
<formControlPr xmlns="http://schemas.microsoft.com/office/spreadsheetml/2009/9/main" objectType="Spin" dx="16" fmlaLink="$K$12" max="75" min="60" page="10" val="67"/>
</file>

<file path=xl/ctrlProps/ctrlProp8.xml><?xml version="1.0" encoding="utf-8"?>
<formControlPr xmlns="http://schemas.microsoft.com/office/spreadsheetml/2009/9/main" objectType="Spin" dx="16" fmlaLink="$K$18" inc="5" max="150" page="10" val="95"/>
</file>

<file path=xl/ctrlProps/ctrlProp9.xml><?xml version="1.0" encoding="utf-8"?>
<formControlPr xmlns="http://schemas.microsoft.com/office/spreadsheetml/2009/9/main" objectType="Spin" dx="16" fmlaLink="$K$19" inc="5" max="150" page="10" val="85"/>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oeller-agrarmarketing.de/"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jpeg"/><Relationship Id="rId1" Type="http://schemas.openxmlformats.org/officeDocument/2006/relationships/hyperlink" Target="http://www.moeller-agrarmarketing.de/" TargetMode="External"/><Relationship Id="rId6" Type="http://schemas.openxmlformats.org/officeDocument/2006/relationships/hyperlink" Target="#&#220;bersicht!A1"/><Relationship Id="rId5" Type="http://schemas.openxmlformats.org/officeDocument/2006/relationships/hyperlink" Target="#'ab 4. Laktation'!A1"/><Relationship Id="rId4" Type="http://schemas.openxmlformats.org/officeDocument/2006/relationships/hyperlink" Target="#'2.+3. Laktation'!A1"/></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jpeg"/><Relationship Id="rId1" Type="http://schemas.openxmlformats.org/officeDocument/2006/relationships/hyperlink" Target="http://www.moeller-agrarmarketing.de/" TargetMode="External"/><Relationship Id="rId6" Type="http://schemas.openxmlformats.org/officeDocument/2006/relationships/hyperlink" Target="#'1. Laktation'!A1"/><Relationship Id="rId5" Type="http://schemas.openxmlformats.org/officeDocument/2006/relationships/hyperlink" Target="#&#220;bersicht!A1"/><Relationship Id="rId4" Type="http://schemas.openxmlformats.org/officeDocument/2006/relationships/hyperlink" Target="#'ab 4. Laktation'!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jpeg"/><Relationship Id="rId1" Type="http://schemas.openxmlformats.org/officeDocument/2006/relationships/hyperlink" Target="http://www.moeller-agrarmarketing.de/" TargetMode="External"/><Relationship Id="rId6" Type="http://schemas.openxmlformats.org/officeDocument/2006/relationships/hyperlink" Target="#'2.+3. Laktation'!A1"/><Relationship Id="rId5" Type="http://schemas.openxmlformats.org/officeDocument/2006/relationships/hyperlink" Target="#'1. Laktation'!A1"/><Relationship Id="rId4" Type="http://schemas.openxmlformats.org/officeDocument/2006/relationships/hyperlink" Target="#&#220;bersicht!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jpeg"/><Relationship Id="rId1" Type="http://schemas.openxmlformats.org/officeDocument/2006/relationships/hyperlink" Target="http://www.moeller-agrarmarketing.de/" TargetMode="External"/><Relationship Id="rId6" Type="http://schemas.openxmlformats.org/officeDocument/2006/relationships/hyperlink" Target="#'TMR ab 4. Lakt.'!A1"/><Relationship Id="rId5" Type="http://schemas.openxmlformats.org/officeDocument/2006/relationships/hyperlink" Target="#'TMR 2. Lakt.'!A1"/><Relationship Id="rId4" Type="http://schemas.openxmlformats.org/officeDocument/2006/relationships/hyperlink" Target="#&#220;bersicht!A1"/></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1.jpeg"/><Relationship Id="rId1" Type="http://schemas.openxmlformats.org/officeDocument/2006/relationships/hyperlink" Target="http://www.moeller-agrarmarketing.de/" TargetMode="Externa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1.jpeg"/><Relationship Id="rId1" Type="http://schemas.openxmlformats.org/officeDocument/2006/relationships/hyperlink" Target="http://www.moeller-agrarmarketing.de/" TargetMode="External"/><Relationship Id="rId6" Type="http://schemas.openxmlformats.org/officeDocument/2006/relationships/hyperlink" Target="#'TMR 2. Lakt.'!A1"/><Relationship Id="rId5" Type="http://schemas.openxmlformats.org/officeDocument/2006/relationships/hyperlink" Target="#'TMR 1. Lakt.'!A1"/><Relationship Id="rId4" Type="http://schemas.openxmlformats.org/officeDocument/2006/relationships/hyperlink" Target="#&#220;bersicht!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oeller-agrarmarketing.de/" TargetMode="External"/></Relationships>
</file>

<file path=xl/drawings/drawing1.xml><?xml version="1.0" encoding="utf-8"?>
<xdr:wsDr xmlns:xdr="http://schemas.openxmlformats.org/drawingml/2006/spreadsheetDrawing" xmlns:a="http://schemas.openxmlformats.org/drawingml/2006/main">
  <xdr:oneCellAnchor>
    <xdr:from>
      <xdr:col>6</xdr:col>
      <xdr:colOff>428624</xdr:colOff>
      <xdr:row>0</xdr:row>
      <xdr:rowOff>161925</xdr:rowOff>
    </xdr:from>
    <xdr:ext cx="1278385" cy="628650"/>
    <xdr:pic>
      <xdr:nvPicPr>
        <xdr:cNvPr id="2" name="Grafik 1">
          <a:hlinkClick xmlns:r="http://schemas.openxmlformats.org/officeDocument/2006/relationships" r:id="rId1"/>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5292" r="6493" b="7396"/>
        <a:stretch/>
      </xdr:blipFill>
      <xdr:spPr bwMode="auto">
        <a:xfrm>
          <a:off x="5114924" y="161925"/>
          <a:ext cx="127838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133350</xdr:colOff>
      <xdr:row>39</xdr:row>
      <xdr:rowOff>19050</xdr:rowOff>
    </xdr:from>
    <xdr:ext cx="695325" cy="391613"/>
    <xdr:pic>
      <xdr:nvPicPr>
        <xdr:cNvPr id="6" name="Grafik 5">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5667375" y="8353425"/>
          <a:ext cx="695325"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1000125</xdr:colOff>
      <xdr:row>1</xdr:row>
      <xdr:rowOff>0</xdr:rowOff>
    </xdr:from>
    <xdr:ext cx="1086628" cy="612000"/>
    <xdr:pic>
      <xdr:nvPicPr>
        <xdr:cNvPr id="2" name="Grafi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6048375" y="190500"/>
          <a:ext cx="1086628"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2</xdr:col>
          <xdr:colOff>19050</xdr:colOff>
          <xdr:row>3</xdr:row>
          <xdr:rowOff>19050</xdr:rowOff>
        </xdr:from>
        <xdr:to>
          <xdr:col>3</xdr:col>
          <xdr:colOff>295275</xdr:colOff>
          <xdr:row>3</xdr:row>
          <xdr:rowOff>371475</xdr:rowOff>
        </xdr:to>
        <xdr:sp macro="" textlink="">
          <xdr:nvSpPr>
            <xdr:cNvPr id="4097" name="Drop Down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xdr:row>
          <xdr:rowOff>9525</xdr:rowOff>
        </xdr:from>
        <xdr:to>
          <xdr:col>3</xdr:col>
          <xdr:colOff>304800</xdr:colOff>
          <xdr:row>10</xdr:row>
          <xdr:rowOff>180975</xdr:rowOff>
        </xdr:to>
        <xdr:sp macro="" textlink="">
          <xdr:nvSpPr>
            <xdr:cNvPr id="4098" name="Spinner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4</xdr:row>
          <xdr:rowOff>9525</xdr:rowOff>
        </xdr:from>
        <xdr:to>
          <xdr:col>3</xdr:col>
          <xdr:colOff>295275</xdr:colOff>
          <xdr:row>4</xdr:row>
          <xdr:rowOff>361950</xdr:rowOff>
        </xdr:to>
        <xdr:sp macro="" textlink="">
          <xdr:nvSpPr>
            <xdr:cNvPr id="4100" name="Drop Down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15</xdr:row>
          <xdr:rowOff>9525</xdr:rowOff>
        </xdr:from>
        <xdr:to>
          <xdr:col>5</xdr:col>
          <xdr:colOff>304800</xdr:colOff>
          <xdr:row>15</xdr:row>
          <xdr:rowOff>371475</xdr:rowOff>
        </xdr:to>
        <xdr:sp macro="" textlink="">
          <xdr:nvSpPr>
            <xdr:cNvPr id="4101" name="Spinner 5"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11</xdr:row>
          <xdr:rowOff>9525</xdr:rowOff>
        </xdr:from>
        <xdr:to>
          <xdr:col>3</xdr:col>
          <xdr:colOff>304800</xdr:colOff>
          <xdr:row>11</xdr:row>
          <xdr:rowOff>371475</xdr:rowOff>
        </xdr:to>
        <xdr:sp macro="" textlink="">
          <xdr:nvSpPr>
            <xdr:cNvPr id="4102" name="Spinner 6" hidden="1">
              <a:extLst>
                <a:ext uri="{63B3BB69-23CF-44E3-9099-C40C66FF867C}">
                  <a14:compatExt spid="_x0000_s4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xdr:row>
          <xdr:rowOff>9525</xdr:rowOff>
        </xdr:from>
        <xdr:to>
          <xdr:col>3</xdr:col>
          <xdr:colOff>304800</xdr:colOff>
          <xdr:row>12</xdr:row>
          <xdr:rowOff>371475</xdr:rowOff>
        </xdr:to>
        <xdr:sp macro="" textlink="">
          <xdr:nvSpPr>
            <xdr:cNvPr id="4103" name="Spinner 7" hidden="1">
              <a:extLst>
                <a:ext uri="{63B3BB69-23CF-44E3-9099-C40C66FF867C}">
                  <a14:compatExt spid="_x0000_s4103"/>
                </a:ext>
              </a:extLst>
            </xdr:cNvPr>
            <xdr:cNvSpPr/>
          </xdr:nvSpPr>
          <xdr:spPr>
            <a:xfrm>
              <a:off x="0" y="0"/>
              <a:ext cx="0" cy="0"/>
            </a:xfrm>
            <a:prstGeom prst="rect">
              <a:avLst/>
            </a:prstGeom>
          </xdr:spPr>
        </xdr:sp>
        <xdr:clientData/>
      </xdr:twoCellAnchor>
    </mc:Choice>
    <mc:Fallback/>
  </mc:AlternateContent>
  <xdr:oneCellAnchor>
    <xdr:from>
      <xdr:col>8</xdr:col>
      <xdr:colOff>323850</xdr:colOff>
      <xdr:row>26</xdr:row>
      <xdr:rowOff>19050</xdr:rowOff>
    </xdr:from>
    <xdr:ext cx="695325" cy="391613"/>
    <xdr:pic>
      <xdr:nvPicPr>
        <xdr:cNvPr id="10" name="Grafik 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6553200" y="7762875"/>
          <a:ext cx="695325"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5</xdr:col>
          <xdr:colOff>9525</xdr:colOff>
          <xdr:row>16</xdr:row>
          <xdr:rowOff>9525</xdr:rowOff>
        </xdr:from>
        <xdr:to>
          <xdr:col>5</xdr:col>
          <xdr:colOff>304800</xdr:colOff>
          <xdr:row>16</xdr:row>
          <xdr:rowOff>371475</xdr:rowOff>
        </xdr:to>
        <xdr:sp macro="" textlink="">
          <xdr:nvSpPr>
            <xdr:cNvPr id="4112" name="Spinner 16" hidden="1">
              <a:extLst>
                <a:ext uri="{63B3BB69-23CF-44E3-9099-C40C66FF867C}">
                  <a14:compatExt spid="_x0000_s4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17</xdr:row>
          <xdr:rowOff>9525</xdr:rowOff>
        </xdr:from>
        <xdr:to>
          <xdr:col>5</xdr:col>
          <xdr:colOff>304800</xdr:colOff>
          <xdr:row>17</xdr:row>
          <xdr:rowOff>371475</xdr:rowOff>
        </xdr:to>
        <xdr:sp macro="" textlink="">
          <xdr:nvSpPr>
            <xdr:cNvPr id="4113" name="Spinner 17" hidden="1">
              <a:extLst>
                <a:ext uri="{63B3BB69-23CF-44E3-9099-C40C66FF867C}">
                  <a14:compatExt spid="_x0000_s4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18</xdr:row>
          <xdr:rowOff>9525</xdr:rowOff>
        </xdr:from>
        <xdr:to>
          <xdr:col>5</xdr:col>
          <xdr:colOff>304800</xdr:colOff>
          <xdr:row>18</xdr:row>
          <xdr:rowOff>371475</xdr:rowOff>
        </xdr:to>
        <xdr:sp macro="" textlink="">
          <xdr:nvSpPr>
            <xdr:cNvPr id="4114" name="Spinner 18" hidden="1">
              <a:extLst>
                <a:ext uri="{63B3BB69-23CF-44E3-9099-C40C66FF867C}">
                  <a14:compatExt spid="_x0000_s4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19</xdr:row>
          <xdr:rowOff>9525</xdr:rowOff>
        </xdr:from>
        <xdr:to>
          <xdr:col>5</xdr:col>
          <xdr:colOff>304800</xdr:colOff>
          <xdr:row>19</xdr:row>
          <xdr:rowOff>371475</xdr:rowOff>
        </xdr:to>
        <xdr:sp macro="" textlink="">
          <xdr:nvSpPr>
            <xdr:cNvPr id="4115" name="Spinner 19" hidden="1">
              <a:extLst>
                <a:ext uri="{63B3BB69-23CF-44E3-9099-C40C66FF867C}">
                  <a14:compatExt spid="_x0000_s4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20</xdr:row>
          <xdr:rowOff>9525</xdr:rowOff>
        </xdr:from>
        <xdr:to>
          <xdr:col>5</xdr:col>
          <xdr:colOff>304800</xdr:colOff>
          <xdr:row>20</xdr:row>
          <xdr:rowOff>371475</xdr:rowOff>
        </xdr:to>
        <xdr:sp macro="" textlink="">
          <xdr:nvSpPr>
            <xdr:cNvPr id="4116" name="Spinner 20" hidden="1">
              <a:extLst>
                <a:ext uri="{63B3BB69-23CF-44E3-9099-C40C66FF867C}">
                  <a14:compatExt spid="_x0000_s4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21</xdr:row>
          <xdr:rowOff>9525</xdr:rowOff>
        </xdr:from>
        <xdr:to>
          <xdr:col>5</xdr:col>
          <xdr:colOff>304800</xdr:colOff>
          <xdr:row>21</xdr:row>
          <xdr:rowOff>371475</xdr:rowOff>
        </xdr:to>
        <xdr:sp macro="" textlink="">
          <xdr:nvSpPr>
            <xdr:cNvPr id="4117" name="Spinner 21"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22</xdr:row>
          <xdr:rowOff>9525</xdr:rowOff>
        </xdr:from>
        <xdr:to>
          <xdr:col>5</xdr:col>
          <xdr:colOff>304800</xdr:colOff>
          <xdr:row>22</xdr:row>
          <xdr:rowOff>371475</xdr:rowOff>
        </xdr:to>
        <xdr:sp macro="" textlink="">
          <xdr:nvSpPr>
            <xdr:cNvPr id="4118" name="Spinner 22" hidden="1">
              <a:extLst>
                <a:ext uri="{63B3BB69-23CF-44E3-9099-C40C66FF867C}">
                  <a14:compatExt spid="_x0000_s4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23</xdr:row>
          <xdr:rowOff>9525</xdr:rowOff>
        </xdr:from>
        <xdr:to>
          <xdr:col>5</xdr:col>
          <xdr:colOff>304800</xdr:colOff>
          <xdr:row>23</xdr:row>
          <xdr:rowOff>371475</xdr:rowOff>
        </xdr:to>
        <xdr:sp macro="" textlink="">
          <xdr:nvSpPr>
            <xdr:cNvPr id="4119" name="Spinner 23" hidden="1">
              <a:extLst>
                <a:ext uri="{63B3BB69-23CF-44E3-9099-C40C66FF867C}">
                  <a14:compatExt spid="_x0000_s4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5</xdr:row>
          <xdr:rowOff>9525</xdr:rowOff>
        </xdr:from>
        <xdr:to>
          <xdr:col>3</xdr:col>
          <xdr:colOff>304800</xdr:colOff>
          <xdr:row>6</xdr:row>
          <xdr:rowOff>180975</xdr:rowOff>
        </xdr:to>
        <xdr:sp macro="" textlink="">
          <xdr:nvSpPr>
            <xdr:cNvPr id="4120" name="Spinner 24" hidden="1">
              <a:extLst>
                <a:ext uri="{63B3BB69-23CF-44E3-9099-C40C66FF867C}">
                  <a14:compatExt spid="_x0000_s4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9525</xdr:rowOff>
        </xdr:from>
        <xdr:to>
          <xdr:col>3</xdr:col>
          <xdr:colOff>304800</xdr:colOff>
          <xdr:row>8</xdr:row>
          <xdr:rowOff>180975</xdr:rowOff>
        </xdr:to>
        <xdr:sp macro="" textlink="">
          <xdr:nvSpPr>
            <xdr:cNvPr id="4121" name="Spinner 25" hidden="1">
              <a:extLst>
                <a:ext uri="{63B3BB69-23CF-44E3-9099-C40C66FF867C}">
                  <a14:compatExt spid="_x0000_s4121"/>
                </a:ext>
              </a:extLst>
            </xdr:cNvPr>
            <xdr:cNvSpPr/>
          </xdr:nvSpPr>
          <xdr:spPr>
            <a:xfrm>
              <a:off x="0" y="0"/>
              <a:ext cx="0" cy="0"/>
            </a:xfrm>
            <a:prstGeom prst="rect">
              <a:avLst/>
            </a:prstGeom>
          </xdr:spPr>
        </xdr:sp>
        <xdr:clientData/>
      </xdr:twoCellAnchor>
    </mc:Choice>
    <mc:Fallback/>
  </mc:AlternateContent>
  <xdr:twoCellAnchor>
    <xdr:from>
      <xdr:col>4</xdr:col>
      <xdr:colOff>123825</xdr:colOff>
      <xdr:row>3</xdr:row>
      <xdr:rowOff>0</xdr:rowOff>
    </xdr:from>
    <xdr:to>
      <xdr:col>9</xdr:col>
      <xdr:colOff>0</xdr:colOff>
      <xdr:row>13</xdr:row>
      <xdr:rowOff>0</xdr:rowOff>
    </xdr:to>
    <xdr:graphicFrame macro="">
      <xdr:nvGraphicFramePr>
        <xdr:cNvPr id="20" name="Diagramm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257175</xdr:colOff>
      <xdr:row>30</xdr:row>
      <xdr:rowOff>0</xdr:rowOff>
    </xdr:from>
    <xdr:to>
      <xdr:col>6</xdr:col>
      <xdr:colOff>609600</xdr:colOff>
      <xdr:row>32</xdr:row>
      <xdr:rowOff>0</xdr:rowOff>
    </xdr:to>
    <xdr:sp macro="" textlink="">
      <xdr:nvSpPr>
        <xdr:cNvPr id="21" name="Abgerundetes Rechteck 20">
          <a:hlinkClick xmlns:r="http://schemas.openxmlformats.org/officeDocument/2006/relationships" r:id="rId4"/>
        </xdr:cNvPr>
        <xdr:cNvSpPr/>
      </xdr:nvSpPr>
      <xdr:spPr>
        <a:xfrm>
          <a:off x="3295650"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a:solidFill>
                <a:schemeClr val="tx1"/>
              </a:solidFill>
              <a:latin typeface="Arial" panose="020B0604020202020204" pitchFamily="34" charset="0"/>
              <a:cs typeface="Arial" panose="020B0604020202020204" pitchFamily="34" charset="0"/>
            </a:rPr>
            <a:t>getrennte Vorlage</a:t>
          </a:r>
        </a:p>
        <a:p>
          <a:pPr algn="ctr"/>
          <a:r>
            <a:rPr lang="de-DE" sz="1100" b="1" baseline="0">
              <a:solidFill>
                <a:schemeClr val="tx1"/>
              </a:solidFill>
              <a:latin typeface="Arial" panose="020B0604020202020204" pitchFamily="34" charset="0"/>
              <a:cs typeface="Arial" panose="020B0604020202020204" pitchFamily="34" charset="0"/>
            </a:rPr>
            <a:t>2. &amp; 3. Laktation</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7</xdr:col>
      <xdr:colOff>647700</xdr:colOff>
      <xdr:row>30</xdr:row>
      <xdr:rowOff>0</xdr:rowOff>
    </xdr:from>
    <xdr:to>
      <xdr:col>9</xdr:col>
      <xdr:colOff>0</xdr:colOff>
      <xdr:row>32</xdr:row>
      <xdr:rowOff>0</xdr:rowOff>
    </xdr:to>
    <xdr:sp macro="" textlink="">
      <xdr:nvSpPr>
        <xdr:cNvPr id="22" name="Abgerundetes Rechteck 21">
          <a:hlinkClick xmlns:r="http://schemas.openxmlformats.org/officeDocument/2006/relationships" r:id="rId5"/>
        </xdr:cNvPr>
        <xdr:cNvSpPr/>
      </xdr:nvSpPr>
      <xdr:spPr>
        <a:xfrm>
          <a:off x="5829300"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a:solidFill>
                <a:schemeClr val="tx1"/>
              </a:solidFill>
              <a:latin typeface="Arial" panose="020B0604020202020204" pitchFamily="34" charset="0"/>
              <a:cs typeface="Arial" panose="020B0604020202020204" pitchFamily="34" charset="0"/>
            </a:rPr>
            <a:t>getrennte Vorlage</a:t>
          </a:r>
        </a:p>
        <a:p>
          <a:pPr algn="ctr"/>
          <a:r>
            <a:rPr lang="de-DE" sz="1100" b="1" baseline="0">
              <a:solidFill>
                <a:schemeClr val="tx1"/>
              </a:solidFill>
              <a:latin typeface="Arial" panose="020B0604020202020204" pitchFamily="34" charset="0"/>
              <a:cs typeface="Arial" panose="020B0604020202020204" pitchFamily="34" charset="0"/>
            </a:rPr>
            <a:t>ab 4. Laktation</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0</xdr:colOff>
      <xdr:row>30</xdr:row>
      <xdr:rowOff>0</xdr:rowOff>
    </xdr:from>
    <xdr:to>
      <xdr:col>2</xdr:col>
      <xdr:colOff>333375</xdr:colOff>
      <xdr:row>32</xdr:row>
      <xdr:rowOff>0</xdr:rowOff>
    </xdr:to>
    <xdr:sp macro="" textlink="">
      <xdr:nvSpPr>
        <xdr:cNvPr id="23" name="Abgerundetes Rechteck 22">
          <a:hlinkClick xmlns:r="http://schemas.openxmlformats.org/officeDocument/2006/relationships" r:id="rId6"/>
        </xdr:cNvPr>
        <xdr:cNvSpPr/>
      </xdr:nvSpPr>
      <xdr:spPr>
        <a:xfrm>
          <a:off x="762000"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baseline="0">
              <a:solidFill>
                <a:schemeClr val="tx1"/>
              </a:solidFill>
              <a:latin typeface="Arial" panose="020B0604020202020204" pitchFamily="34" charset="0"/>
              <a:cs typeface="Arial" panose="020B0604020202020204" pitchFamily="34" charset="0"/>
            </a:rPr>
            <a:t>zurück zur Übersicht</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1000125</xdr:colOff>
      <xdr:row>1</xdr:row>
      <xdr:rowOff>0</xdr:rowOff>
    </xdr:from>
    <xdr:ext cx="1086628" cy="612000"/>
    <xdr:pic>
      <xdr:nvPicPr>
        <xdr:cNvPr id="21" name="Grafik 20">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6181725" y="190500"/>
          <a:ext cx="1086628"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2</xdr:col>
          <xdr:colOff>19050</xdr:colOff>
          <xdr:row>3</xdr:row>
          <xdr:rowOff>19050</xdr:rowOff>
        </xdr:from>
        <xdr:to>
          <xdr:col>3</xdr:col>
          <xdr:colOff>295275</xdr:colOff>
          <xdr:row>3</xdr:row>
          <xdr:rowOff>371475</xdr:rowOff>
        </xdr:to>
        <xdr:sp macro="" textlink="">
          <xdr:nvSpPr>
            <xdr:cNvPr id="8209" name="Drop Down 17" hidden="1">
              <a:extLst>
                <a:ext uri="{63B3BB69-23CF-44E3-9099-C40C66FF867C}">
                  <a14:compatExt spid="_x0000_s8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xdr:row>
          <xdr:rowOff>9525</xdr:rowOff>
        </xdr:from>
        <xdr:to>
          <xdr:col>3</xdr:col>
          <xdr:colOff>304800</xdr:colOff>
          <xdr:row>10</xdr:row>
          <xdr:rowOff>180975</xdr:rowOff>
        </xdr:to>
        <xdr:sp macro="" textlink="">
          <xdr:nvSpPr>
            <xdr:cNvPr id="8210" name="Spinner 18" hidden="1">
              <a:extLst>
                <a:ext uri="{63B3BB69-23CF-44E3-9099-C40C66FF867C}">
                  <a14:compatExt spid="_x0000_s8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4</xdr:row>
          <xdr:rowOff>9525</xdr:rowOff>
        </xdr:from>
        <xdr:to>
          <xdr:col>3</xdr:col>
          <xdr:colOff>295275</xdr:colOff>
          <xdr:row>4</xdr:row>
          <xdr:rowOff>361950</xdr:rowOff>
        </xdr:to>
        <xdr:sp macro="" textlink="">
          <xdr:nvSpPr>
            <xdr:cNvPr id="8211" name="Drop Down 19" hidden="1">
              <a:extLst>
                <a:ext uri="{63B3BB69-23CF-44E3-9099-C40C66FF867C}">
                  <a14:compatExt spid="_x0000_s8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15</xdr:row>
          <xdr:rowOff>9525</xdr:rowOff>
        </xdr:from>
        <xdr:to>
          <xdr:col>5</xdr:col>
          <xdr:colOff>304800</xdr:colOff>
          <xdr:row>15</xdr:row>
          <xdr:rowOff>371475</xdr:rowOff>
        </xdr:to>
        <xdr:sp macro="" textlink="">
          <xdr:nvSpPr>
            <xdr:cNvPr id="8212" name="Spinner 20" hidden="1">
              <a:extLst>
                <a:ext uri="{63B3BB69-23CF-44E3-9099-C40C66FF867C}">
                  <a14:compatExt spid="_x0000_s8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11</xdr:row>
          <xdr:rowOff>9525</xdr:rowOff>
        </xdr:from>
        <xdr:to>
          <xdr:col>3</xdr:col>
          <xdr:colOff>304800</xdr:colOff>
          <xdr:row>11</xdr:row>
          <xdr:rowOff>371475</xdr:rowOff>
        </xdr:to>
        <xdr:sp macro="" textlink="">
          <xdr:nvSpPr>
            <xdr:cNvPr id="8213" name="Spinner 21" hidden="1">
              <a:extLst>
                <a:ext uri="{63B3BB69-23CF-44E3-9099-C40C66FF867C}">
                  <a14:compatExt spid="_x0000_s8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xdr:row>
          <xdr:rowOff>9525</xdr:rowOff>
        </xdr:from>
        <xdr:to>
          <xdr:col>3</xdr:col>
          <xdr:colOff>304800</xdr:colOff>
          <xdr:row>12</xdr:row>
          <xdr:rowOff>371475</xdr:rowOff>
        </xdr:to>
        <xdr:sp macro="" textlink="">
          <xdr:nvSpPr>
            <xdr:cNvPr id="8214" name="Spinner 22" hidden="1">
              <a:extLst>
                <a:ext uri="{63B3BB69-23CF-44E3-9099-C40C66FF867C}">
                  <a14:compatExt spid="_x0000_s8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16</xdr:row>
          <xdr:rowOff>9525</xdr:rowOff>
        </xdr:from>
        <xdr:to>
          <xdr:col>5</xdr:col>
          <xdr:colOff>304800</xdr:colOff>
          <xdr:row>16</xdr:row>
          <xdr:rowOff>371475</xdr:rowOff>
        </xdr:to>
        <xdr:sp macro="" textlink="">
          <xdr:nvSpPr>
            <xdr:cNvPr id="8215" name="Spinner 23" hidden="1">
              <a:extLst>
                <a:ext uri="{63B3BB69-23CF-44E3-9099-C40C66FF867C}">
                  <a14:compatExt spid="_x0000_s8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17</xdr:row>
          <xdr:rowOff>9525</xdr:rowOff>
        </xdr:from>
        <xdr:to>
          <xdr:col>5</xdr:col>
          <xdr:colOff>304800</xdr:colOff>
          <xdr:row>17</xdr:row>
          <xdr:rowOff>371475</xdr:rowOff>
        </xdr:to>
        <xdr:sp macro="" textlink="">
          <xdr:nvSpPr>
            <xdr:cNvPr id="8216" name="Spinner 24" hidden="1">
              <a:extLst>
                <a:ext uri="{63B3BB69-23CF-44E3-9099-C40C66FF867C}">
                  <a14:compatExt spid="_x0000_s8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18</xdr:row>
          <xdr:rowOff>9525</xdr:rowOff>
        </xdr:from>
        <xdr:to>
          <xdr:col>5</xdr:col>
          <xdr:colOff>304800</xdr:colOff>
          <xdr:row>18</xdr:row>
          <xdr:rowOff>371475</xdr:rowOff>
        </xdr:to>
        <xdr:sp macro="" textlink="">
          <xdr:nvSpPr>
            <xdr:cNvPr id="8217" name="Spinner 25" hidden="1">
              <a:extLst>
                <a:ext uri="{63B3BB69-23CF-44E3-9099-C40C66FF867C}">
                  <a14:compatExt spid="_x0000_s8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19</xdr:row>
          <xdr:rowOff>9525</xdr:rowOff>
        </xdr:from>
        <xdr:to>
          <xdr:col>5</xdr:col>
          <xdr:colOff>304800</xdr:colOff>
          <xdr:row>19</xdr:row>
          <xdr:rowOff>371475</xdr:rowOff>
        </xdr:to>
        <xdr:sp macro="" textlink="">
          <xdr:nvSpPr>
            <xdr:cNvPr id="8218" name="Spinner 26" hidden="1">
              <a:extLst>
                <a:ext uri="{63B3BB69-23CF-44E3-9099-C40C66FF867C}">
                  <a14:compatExt spid="_x0000_s8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20</xdr:row>
          <xdr:rowOff>9525</xdr:rowOff>
        </xdr:from>
        <xdr:to>
          <xdr:col>5</xdr:col>
          <xdr:colOff>304800</xdr:colOff>
          <xdr:row>20</xdr:row>
          <xdr:rowOff>371475</xdr:rowOff>
        </xdr:to>
        <xdr:sp macro="" textlink="">
          <xdr:nvSpPr>
            <xdr:cNvPr id="8219" name="Spinner 27" hidden="1">
              <a:extLst>
                <a:ext uri="{63B3BB69-23CF-44E3-9099-C40C66FF867C}">
                  <a14:compatExt spid="_x0000_s8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21</xdr:row>
          <xdr:rowOff>9525</xdr:rowOff>
        </xdr:from>
        <xdr:to>
          <xdr:col>5</xdr:col>
          <xdr:colOff>304800</xdr:colOff>
          <xdr:row>21</xdr:row>
          <xdr:rowOff>371475</xdr:rowOff>
        </xdr:to>
        <xdr:sp macro="" textlink="">
          <xdr:nvSpPr>
            <xdr:cNvPr id="8220" name="Spinner 28" hidden="1">
              <a:extLst>
                <a:ext uri="{63B3BB69-23CF-44E3-9099-C40C66FF867C}">
                  <a14:compatExt spid="_x0000_s8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22</xdr:row>
          <xdr:rowOff>9525</xdr:rowOff>
        </xdr:from>
        <xdr:to>
          <xdr:col>5</xdr:col>
          <xdr:colOff>304800</xdr:colOff>
          <xdr:row>22</xdr:row>
          <xdr:rowOff>371475</xdr:rowOff>
        </xdr:to>
        <xdr:sp macro="" textlink="">
          <xdr:nvSpPr>
            <xdr:cNvPr id="8221" name="Spinner 29" hidden="1">
              <a:extLst>
                <a:ext uri="{63B3BB69-23CF-44E3-9099-C40C66FF867C}">
                  <a14:compatExt spid="_x0000_s8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23</xdr:row>
          <xdr:rowOff>9525</xdr:rowOff>
        </xdr:from>
        <xdr:to>
          <xdr:col>5</xdr:col>
          <xdr:colOff>304800</xdr:colOff>
          <xdr:row>23</xdr:row>
          <xdr:rowOff>371475</xdr:rowOff>
        </xdr:to>
        <xdr:sp macro="" textlink="">
          <xdr:nvSpPr>
            <xdr:cNvPr id="8222" name="Spinner 30" hidden="1">
              <a:extLst>
                <a:ext uri="{63B3BB69-23CF-44E3-9099-C40C66FF867C}">
                  <a14:compatExt spid="_x0000_s8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5</xdr:row>
          <xdr:rowOff>9525</xdr:rowOff>
        </xdr:from>
        <xdr:to>
          <xdr:col>3</xdr:col>
          <xdr:colOff>304800</xdr:colOff>
          <xdr:row>6</xdr:row>
          <xdr:rowOff>180975</xdr:rowOff>
        </xdr:to>
        <xdr:sp macro="" textlink="">
          <xdr:nvSpPr>
            <xdr:cNvPr id="8223" name="Spinner 31" hidden="1">
              <a:extLst>
                <a:ext uri="{63B3BB69-23CF-44E3-9099-C40C66FF867C}">
                  <a14:compatExt spid="_x0000_s8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9525</xdr:rowOff>
        </xdr:from>
        <xdr:to>
          <xdr:col>3</xdr:col>
          <xdr:colOff>304800</xdr:colOff>
          <xdr:row>8</xdr:row>
          <xdr:rowOff>180975</xdr:rowOff>
        </xdr:to>
        <xdr:sp macro="" textlink="">
          <xdr:nvSpPr>
            <xdr:cNvPr id="8224" name="Spinner 32" hidden="1">
              <a:extLst>
                <a:ext uri="{63B3BB69-23CF-44E3-9099-C40C66FF867C}">
                  <a14:compatExt spid="_x0000_s8224"/>
                </a:ext>
              </a:extLst>
            </xdr:cNvPr>
            <xdr:cNvSpPr/>
          </xdr:nvSpPr>
          <xdr:spPr>
            <a:xfrm>
              <a:off x="0" y="0"/>
              <a:ext cx="0" cy="0"/>
            </a:xfrm>
            <a:prstGeom prst="rect">
              <a:avLst/>
            </a:prstGeom>
          </xdr:spPr>
        </xdr:sp>
        <xdr:clientData/>
      </xdr:twoCellAnchor>
    </mc:Choice>
    <mc:Fallback/>
  </mc:AlternateContent>
  <xdr:twoCellAnchor>
    <xdr:from>
      <xdr:col>4</xdr:col>
      <xdr:colOff>123825</xdr:colOff>
      <xdr:row>3</xdr:row>
      <xdr:rowOff>0</xdr:rowOff>
    </xdr:from>
    <xdr:to>
      <xdr:col>9</xdr:col>
      <xdr:colOff>0</xdr:colOff>
      <xdr:row>13</xdr:row>
      <xdr:rowOff>0</xdr:rowOff>
    </xdr:to>
    <xdr:graphicFrame macro="">
      <xdr:nvGraphicFramePr>
        <xdr:cNvPr id="39" name="Diagramm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8</xdr:col>
      <xdr:colOff>314325</xdr:colOff>
      <xdr:row>26</xdr:row>
      <xdr:rowOff>19050</xdr:rowOff>
    </xdr:from>
    <xdr:ext cx="695325" cy="391613"/>
    <xdr:pic>
      <xdr:nvPicPr>
        <xdr:cNvPr id="40" name="Grafik 39">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6543675" y="7762875"/>
          <a:ext cx="695325"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7</xdr:col>
      <xdr:colOff>647700</xdr:colOff>
      <xdr:row>30</xdr:row>
      <xdr:rowOff>0</xdr:rowOff>
    </xdr:from>
    <xdr:to>
      <xdr:col>9</xdr:col>
      <xdr:colOff>0</xdr:colOff>
      <xdr:row>32</xdr:row>
      <xdr:rowOff>0</xdr:rowOff>
    </xdr:to>
    <xdr:sp macro="" textlink="">
      <xdr:nvSpPr>
        <xdr:cNvPr id="23" name="Abgerundetes Rechteck 22">
          <a:hlinkClick xmlns:r="http://schemas.openxmlformats.org/officeDocument/2006/relationships" r:id="rId4"/>
        </xdr:cNvPr>
        <xdr:cNvSpPr/>
      </xdr:nvSpPr>
      <xdr:spPr>
        <a:xfrm>
          <a:off x="5829300"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a:solidFill>
                <a:schemeClr val="tx1"/>
              </a:solidFill>
              <a:latin typeface="Arial" panose="020B0604020202020204" pitchFamily="34" charset="0"/>
              <a:cs typeface="Arial" panose="020B0604020202020204" pitchFamily="34" charset="0"/>
            </a:rPr>
            <a:t>getrennte Vorlage</a:t>
          </a:r>
        </a:p>
        <a:p>
          <a:pPr algn="ctr"/>
          <a:r>
            <a:rPr lang="de-DE" sz="1100" b="1" baseline="0">
              <a:solidFill>
                <a:schemeClr val="tx1"/>
              </a:solidFill>
              <a:latin typeface="Arial" panose="020B0604020202020204" pitchFamily="34" charset="0"/>
              <a:cs typeface="Arial" panose="020B0604020202020204" pitchFamily="34" charset="0"/>
            </a:rPr>
            <a:t>ab 4. Laktation</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0</xdr:colOff>
      <xdr:row>30</xdr:row>
      <xdr:rowOff>0</xdr:rowOff>
    </xdr:from>
    <xdr:to>
      <xdr:col>2</xdr:col>
      <xdr:colOff>333375</xdr:colOff>
      <xdr:row>32</xdr:row>
      <xdr:rowOff>0</xdr:rowOff>
    </xdr:to>
    <xdr:sp macro="" textlink="">
      <xdr:nvSpPr>
        <xdr:cNvPr id="24" name="Abgerundetes Rechteck 23">
          <a:hlinkClick xmlns:r="http://schemas.openxmlformats.org/officeDocument/2006/relationships" r:id="rId5"/>
        </xdr:cNvPr>
        <xdr:cNvSpPr/>
      </xdr:nvSpPr>
      <xdr:spPr>
        <a:xfrm>
          <a:off x="762000"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baseline="0">
              <a:solidFill>
                <a:schemeClr val="tx1"/>
              </a:solidFill>
              <a:latin typeface="Arial" panose="020B0604020202020204" pitchFamily="34" charset="0"/>
              <a:cs typeface="Arial" panose="020B0604020202020204" pitchFamily="34" charset="0"/>
            </a:rPr>
            <a:t>zurück zur Übersicht</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257175</xdr:colOff>
      <xdr:row>30</xdr:row>
      <xdr:rowOff>0</xdr:rowOff>
    </xdr:from>
    <xdr:to>
      <xdr:col>6</xdr:col>
      <xdr:colOff>609600</xdr:colOff>
      <xdr:row>32</xdr:row>
      <xdr:rowOff>0</xdr:rowOff>
    </xdr:to>
    <xdr:sp macro="" textlink="">
      <xdr:nvSpPr>
        <xdr:cNvPr id="25" name="Abgerundetes Rechteck 24">
          <a:hlinkClick xmlns:r="http://schemas.openxmlformats.org/officeDocument/2006/relationships" r:id="rId6"/>
        </xdr:cNvPr>
        <xdr:cNvSpPr/>
      </xdr:nvSpPr>
      <xdr:spPr>
        <a:xfrm>
          <a:off x="3295650"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a:solidFill>
                <a:schemeClr val="tx1"/>
              </a:solidFill>
              <a:latin typeface="Arial" panose="020B0604020202020204" pitchFamily="34" charset="0"/>
              <a:cs typeface="Arial" panose="020B0604020202020204" pitchFamily="34" charset="0"/>
            </a:rPr>
            <a:t>getrennte Vorlage</a:t>
          </a:r>
        </a:p>
        <a:p>
          <a:pPr algn="ctr"/>
          <a:r>
            <a:rPr lang="de-DE" sz="1100" b="1" baseline="0">
              <a:solidFill>
                <a:schemeClr val="tx1"/>
              </a:solidFill>
              <a:latin typeface="Arial" panose="020B0604020202020204" pitchFamily="34" charset="0"/>
              <a:cs typeface="Arial" panose="020B0604020202020204" pitchFamily="34" charset="0"/>
            </a:rPr>
            <a:t>1. Laktation</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1000125</xdr:colOff>
      <xdr:row>1</xdr:row>
      <xdr:rowOff>0</xdr:rowOff>
    </xdr:from>
    <xdr:ext cx="1086628" cy="612000"/>
    <xdr:pic>
      <xdr:nvPicPr>
        <xdr:cNvPr id="2" name="Grafi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6181725" y="190500"/>
          <a:ext cx="1086628"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2</xdr:col>
          <xdr:colOff>19050</xdr:colOff>
          <xdr:row>3</xdr:row>
          <xdr:rowOff>19050</xdr:rowOff>
        </xdr:from>
        <xdr:to>
          <xdr:col>3</xdr:col>
          <xdr:colOff>295275</xdr:colOff>
          <xdr:row>3</xdr:row>
          <xdr:rowOff>371475</xdr:rowOff>
        </xdr:to>
        <xdr:sp macro="" textlink="">
          <xdr:nvSpPr>
            <xdr:cNvPr id="11265" name="Drop Down 1"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xdr:row>
          <xdr:rowOff>9525</xdr:rowOff>
        </xdr:from>
        <xdr:to>
          <xdr:col>3</xdr:col>
          <xdr:colOff>304800</xdr:colOff>
          <xdr:row>10</xdr:row>
          <xdr:rowOff>180975</xdr:rowOff>
        </xdr:to>
        <xdr:sp macro="" textlink="">
          <xdr:nvSpPr>
            <xdr:cNvPr id="11266" name="Spinner 2"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4</xdr:row>
          <xdr:rowOff>9525</xdr:rowOff>
        </xdr:from>
        <xdr:to>
          <xdr:col>3</xdr:col>
          <xdr:colOff>295275</xdr:colOff>
          <xdr:row>4</xdr:row>
          <xdr:rowOff>361950</xdr:rowOff>
        </xdr:to>
        <xdr:sp macro="" textlink="">
          <xdr:nvSpPr>
            <xdr:cNvPr id="11267" name="Drop Down 3"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15</xdr:row>
          <xdr:rowOff>9525</xdr:rowOff>
        </xdr:from>
        <xdr:to>
          <xdr:col>5</xdr:col>
          <xdr:colOff>304800</xdr:colOff>
          <xdr:row>15</xdr:row>
          <xdr:rowOff>371475</xdr:rowOff>
        </xdr:to>
        <xdr:sp macro="" textlink="">
          <xdr:nvSpPr>
            <xdr:cNvPr id="11268" name="Spinner 4" hidden="1">
              <a:extLst>
                <a:ext uri="{63B3BB69-23CF-44E3-9099-C40C66FF867C}">
                  <a14:compatExt spid="_x0000_s11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11</xdr:row>
          <xdr:rowOff>9525</xdr:rowOff>
        </xdr:from>
        <xdr:to>
          <xdr:col>3</xdr:col>
          <xdr:colOff>304800</xdr:colOff>
          <xdr:row>11</xdr:row>
          <xdr:rowOff>371475</xdr:rowOff>
        </xdr:to>
        <xdr:sp macro="" textlink="">
          <xdr:nvSpPr>
            <xdr:cNvPr id="11269" name="Spinner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xdr:row>
          <xdr:rowOff>9525</xdr:rowOff>
        </xdr:from>
        <xdr:to>
          <xdr:col>3</xdr:col>
          <xdr:colOff>304800</xdr:colOff>
          <xdr:row>12</xdr:row>
          <xdr:rowOff>371475</xdr:rowOff>
        </xdr:to>
        <xdr:sp macro="" textlink="">
          <xdr:nvSpPr>
            <xdr:cNvPr id="11270" name="Spinner 6" hidden="1">
              <a:extLst>
                <a:ext uri="{63B3BB69-23CF-44E3-9099-C40C66FF867C}">
                  <a14:compatExt spid="_x0000_s11270"/>
                </a:ext>
              </a:extLst>
            </xdr:cNvPr>
            <xdr:cNvSpPr/>
          </xdr:nvSpPr>
          <xdr:spPr>
            <a:xfrm>
              <a:off x="0" y="0"/>
              <a:ext cx="0" cy="0"/>
            </a:xfrm>
            <a:prstGeom prst="rect">
              <a:avLst/>
            </a:prstGeom>
          </xdr:spPr>
        </xdr:sp>
        <xdr:clientData/>
      </xdr:twoCellAnchor>
    </mc:Choice>
    <mc:Fallback/>
  </mc:AlternateContent>
  <xdr:oneCellAnchor>
    <xdr:from>
      <xdr:col>8</xdr:col>
      <xdr:colOff>323850</xdr:colOff>
      <xdr:row>26</xdr:row>
      <xdr:rowOff>19050</xdr:rowOff>
    </xdr:from>
    <xdr:ext cx="695325" cy="391613"/>
    <xdr:pic>
      <xdr:nvPicPr>
        <xdr:cNvPr id="9" name="Grafik 8">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6553200" y="7762875"/>
          <a:ext cx="695325"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5</xdr:col>
          <xdr:colOff>9525</xdr:colOff>
          <xdr:row>16</xdr:row>
          <xdr:rowOff>9525</xdr:rowOff>
        </xdr:from>
        <xdr:to>
          <xdr:col>5</xdr:col>
          <xdr:colOff>304800</xdr:colOff>
          <xdr:row>16</xdr:row>
          <xdr:rowOff>371475</xdr:rowOff>
        </xdr:to>
        <xdr:sp macro="" textlink="">
          <xdr:nvSpPr>
            <xdr:cNvPr id="11271" name="Spinner 7" hidden="1">
              <a:extLst>
                <a:ext uri="{63B3BB69-23CF-44E3-9099-C40C66FF867C}">
                  <a14:compatExt spid="_x0000_s11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17</xdr:row>
          <xdr:rowOff>9525</xdr:rowOff>
        </xdr:from>
        <xdr:to>
          <xdr:col>5</xdr:col>
          <xdr:colOff>304800</xdr:colOff>
          <xdr:row>17</xdr:row>
          <xdr:rowOff>371475</xdr:rowOff>
        </xdr:to>
        <xdr:sp macro="" textlink="">
          <xdr:nvSpPr>
            <xdr:cNvPr id="11272" name="Spinner 8" hidden="1">
              <a:extLst>
                <a:ext uri="{63B3BB69-23CF-44E3-9099-C40C66FF867C}">
                  <a14:compatExt spid="_x0000_s11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18</xdr:row>
          <xdr:rowOff>9525</xdr:rowOff>
        </xdr:from>
        <xdr:to>
          <xdr:col>5</xdr:col>
          <xdr:colOff>304800</xdr:colOff>
          <xdr:row>18</xdr:row>
          <xdr:rowOff>371475</xdr:rowOff>
        </xdr:to>
        <xdr:sp macro="" textlink="">
          <xdr:nvSpPr>
            <xdr:cNvPr id="11273" name="Spinner 9" hidden="1">
              <a:extLst>
                <a:ext uri="{63B3BB69-23CF-44E3-9099-C40C66FF867C}">
                  <a14:compatExt spid="_x0000_s11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19</xdr:row>
          <xdr:rowOff>9525</xdr:rowOff>
        </xdr:from>
        <xdr:to>
          <xdr:col>5</xdr:col>
          <xdr:colOff>304800</xdr:colOff>
          <xdr:row>19</xdr:row>
          <xdr:rowOff>371475</xdr:rowOff>
        </xdr:to>
        <xdr:sp macro="" textlink="">
          <xdr:nvSpPr>
            <xdr:cNvPr id="11274" name="Spinner 10" hidden="1">
              <a:extLst>
                <a:ext uri="{63B3BB69-23CF-44E3-9099-C40C66FF867C}">
                  <a14:compatExt spid="_x0000_s11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20</xdr:row>
          <xdr:rowOff>9525</xdr:rowOff>
        </xdr:from>
        <xdr:to>
          <xdr:col>5</xdr:col>
          <xdr:colOff>304800</xdr:colOff>
          <xdr:row>20</xdr:row>
          <xdr:rowOff>371475</xdr:rowOff>
        </xdr:to>
        <xdr:sp macro="" textlink="">
          <xdr:nvSpPr>
            <xdr:cNvPr id="11275" name="Spinner 11" hidden="1">
              <a:extLst>
                <a:ext uri="{63B3BB69-23CF-44E3-9099-C40C66FF867C}">
                  <a14:compatExt spid="_x0000_s11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21</xdr:row>
          <xdr:rowOff>9525</xdr:rowOff>
        </xdr:from>
        <xdr:to>
          <xdr:col>5</xdr:col>
          <xdr:colOff>304800</xdr:colOff>
          <xdr:row>21</xdr:row>
          <xdr:rowOff>371475</xdr:rowOff>
        </xdr:to>
        <xdr:sp macro="" textlink="">
          <xdr:nvSpPr>
            <xdr:cNvPr id="11276" name="Spinner 12" hidden="1">
              <a:extLst>
                <a:ext uri="{63B3BB69-23CF-44E3-9099-C40C66FF867C}">
                  <a14:compatExt spid="_x0000_s11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22</xdr:row>
          <xdr:rowOff>9525</xdr:rowOff>
        </xdr:from>
        <xdr:to>
          <xdr:col>5</xdr:col>
          <xdr:colOff>304800</xdr:colOff>
          <xdr:row>22</xdr:row>
          <xdr:rowOff>371475</xdr:rowOff>
        </xdr:to>
        <xdr:sp macro="" textlink="">
          <xdr:nvSpPr>
            <xdr:cNvPr id="11277" name="Spinner 13" hidden="1">
              <a:extLst>
                <a:ext uri="{63B3BB69-23CF-44E3-9099-C40C66FF867C}">
                  <a14:compatExt spid="_x0000_s11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23</xdr:row>
          <xdr:rowOff>9525</xdr:rowOff>
        </xdr:from>
        <xdr:to>
          <xdr:col>5</xdr:col>
          <xdr:colOff>304800</xdr:colOff>
          <xdr:row>23</xdr:row>
          <xdr:rowOff>371475</xdr:rowOff>
        </xdr:to>
        <xdr:sp macro="" textlink="">
          <xdr:nvSpPr>
            <xdr:cNvPr id="11278" name="Spinner 14" hidden="1">
              <a:extLst>
                <a:ext uri="{63B3BB69-23CF-44E3-9099-C40C66FF867C}">
                  <a14:compatExt spid="_x0000_s11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5</xdr:row>
          <xdr:rowOff>9525</xdr:rowOff>
        </xdr:from>
        <xdr:to>
          <xdr:col>3</xdr:col>
          <xdr:colOff>304800</xdr:colOff>
          <xdr:row>6</xdr:row>
          <xdr:rowOff>180975</xdr:rowOff>
        </xdr:to>
        <xdr:sp macro="" textlink="">
          <xdr:nvSpPr>
            <xdr:cNvPr id="11279" name="Spinner 15" hidden="1">
              <a:extLst>
                <a:ext uri="{63B3BB69-23CF-44E3-9099-C40C66FF867C}">
                  <a14:compatExt spid="_x0000_s11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9525</xdr:rowOff>
        </xdr:from>
        <xdr:to>
          <xdr:col>3</xdr:col>
          <xdr:colOff>304800</xdr:colOff>
          <xdr:row>8</xdr:row>
          <xdr:rowOff>180975</xdr:rowOff>
        </xdr:to>
        <xdr:sp macro="" textlink="">
          <xdr:nvSpPr>
            <xdr:cNvPr id="11280" name="Spinner 16" hidden="1">
              <a:extLst>
                <a:ext uri="{63B3BB69-23CF-44E3-9099-C40C66FF867C}">
                  <a14:compatExt spid="_x0000_s11280"/>
                </a:ext>
              </a:extLst>
            </xdr:cNvPr>
            <xdr:cNvSpPr/>
          </xdr:nvSpPr>
          <xdr:spPr>
            <a:xfrm>
              <a:off x="0" y="0"/>
              <a:ext cx="0" cy="0"/>
            </a:xfrm>
            <a:prstGeom prst="rect">
              <a:avLst/>
            </a:prstGeom>
          </xdr:spPr>
        </xdr:sp>
        <xdr:clientData/>
      </xdr:twoCellAnchor>
    </mc:Choice>
    <mc:Fallback/>
  </mc:AlternateContent>
  <xdr:twoCellAnchor>
    <xdr:from>
      <xdr:col>4</xdr:col>
      <xdr:colOff>123825</xdr:colOff>
      <xdr:row>3</xdr:row>
      <xdr:rowOff>0</xdr:rowOff>
    </xdr:from>
    <xdr:to>
      <xdr:col>9</xdr:col>
      <xdr:colOff>0</xdr:colOff>
      <xdr:row>13</xdr:row>
      <xdr:rowOff>0</xdr:rowOff>
    </xdr:to>
    <xdr:graphicFrame macro="">
      <xdr:nvGraphicFramePr>
        <xdr:cNvPr id="20" name="Diagramm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30</xdr:row>
      <xdr:rowOff>0</xdr:rowOff>
    </xdr:from>
    <xdr:to>
      <xdr:col>2</xdr:col>
      <xdr:colOff>333375</xdr:colOff>
      <xdr:row>32</xdr:row>
      <xdr:rowOff>0</xdr:rowOff>
    </xdr:to>
    <xdr:sp macro="" textlink="">
      <xdr:nvSpPr>
        <xdr:cNvPr id="22" name="Abgerundetes Rechteck 21">
          <a:hlinkClick xmlns:r="http://schemas.openxmlformats.org/officeDocument/2006/relationships" r:id="rId4"/>
        </xdr:cNvPr>
        <xdr:cNvSpPr/>
      </xdr:nvSpPr>
      <xdr:spPr>
        <a:xfrm>
          <a:off x="762000" y="84677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baseline="0">
              <a:solidFill>
                <a:schemeClr val="tx1"/>
              </a:solidFill>
              <a:latin typeface="Arial" panose="020B0604020202020204" pitchFamily="34" charset="0"/>
              <a:cs typeface="Arial" panose="020B0604020202020204" pitchFamily="34" charset="0"/>
            </a:rPr>
            <a:t>zurück zur Übersicht</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257175</xdr:colOff>
      <xdr:row>30</xdr:row>
      <xdr:rowOff>0</xdr:rowOff>
    </xdr:from>
    <xdr:to>
      <xdr:col>6</xdr:col>
      <xdr:colOff>609600</xdr:colOff>
      <xdr:row>32</xdr:row>
      <xdr:rowOff>0</xdr:rowOff>
    </xdr:to>
    <xdr:sp macro="" textlink="">
      <xdr:nvSpPr>
        <xdr:cNvPr id="23" name="Abgerundetes Rechteck 22">
          <a:hlinkClick xmlns:r="http://schemas.openxmlformats.org/officeDocument/2006/relationships" r:id="rId5"/>
        </xdr:cNvPr>
        <xdr:cNvSpPr/>
      </xdr:nvSpPr>
      <xdr:spPr>
        <a:xfrm>
          <a:off x="3295650" y="84677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a:solidFill>
                <a:schemeClr val="tx1"/>
              </a:solidFill>
              <a:latin typeface="Arial" panose="020B0604020202020204" pitchFamily="34" charset="0"/>
              <a:cs typeface="Arial" panose="020B0604020202020204" pitchFamily="34" charset="0"/>
            </a:rPr>
            <a:t>getrennte Vorlage</a:t>
          </a:r>
        </a:p>
        <a:p>
          <a:pPr algn="ctr"/>
          <a:r>
            <a:rPr lang="de-DE" sz="1100" b="1" baseline="0">
              <a:solidFill>
                <a:schemeClr val="tx1"/>
              </a:solidFill>
              <a:latin typeface="Arial" panose="020B0604020202020204" pitchFamily="34" charset="0"/>
              <a:cs typeface="Arial" panose="020B0604020202020204" pitchFamily="34" charset="0"/>
            </a:rPr>
            <a:t>1. Laktation</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7</xdr:col>
      <xdr:colOff>647700</xdr:colOff>
      <xdr:row>30</xdr:row>
      <xdr:rowOff>0</xdr:rowOff>
    </xdr:from>
    <xdr:to>
      <xdr:col>9</xdr:col>
      <xdr:colOff>0</xdr:colOff>
      <xdr:row>32</xdr:row>
      <xdr:rowOff>0</xdr:rowOff>
    </xdr:to>
    <xdr:sp macro="" textlink="">
      <xdr:nvSpPr>
        <xdr:cNvPr id="24" name="Abgerundetes Rechteck 23">
          <a:hlinkClick xmlns:r="http://schemas.openxmlformats.org/officeDocument/2006/relationships" r:id="rId6"/>
        </xdr:cNvPr>
        <xdr:cNvSpPr/>
      </xdr:nvSpPr>
      <xdr:spPr>
        <a:xfrm>
          <a:off x="5829300" y="84677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a:solidFill>
                <a:schemeClr val="tx1"/>
              </a:solidFill>
              <a:latin typeface="Arial" panose="020B0604020202020204" pitchFamily="34" charset="0"/>
              <a:cs typeface="Arial" panose="020B0604020202020204" pitchFamily="34" charset="0"/>
            </a:rPr>
            <a:t>getrennte Vorlage</a:t>
          </a:r>
        </a:p>
        <a:p>
          <a:pPr algn="ctr"/>
          <a:r>
            <a:rPr lang="de-DE" sz="1100" b="1" baseline="0">
              <a:solidFill>
                <a:schemeClr val="tx1"/>
              </a:solidFill>
              <a:latin typeface="Arial" panose="020B0604020202020204" pitchFamily="34" charset="0"/>
              <a:cs typeface="Arial" panose="020B0604020202020204" pitchFamily="34" charset="0"/>
            </a:rPr>
            <a:t>2. &amp; 3. Laktation</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1000125</xdr:colOff>
      <xdr:row>1</xdr:row>
      <xdr:rowOff>0</xdr:rowOff>
    </xdr:from>
    <xdr:ext cx="1086628" cy="612000"/>
    <xdr:pic>
      <xdr:nvPicPr>
        <xdr:cNvPr id="2" name="Grafi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6181725" y="190500"/>
          <a:ext cx="1086628"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2</xdr:col>
          <xdr:colOff>19050</xdr:colOff>
          <xdr:row>3</xdr:row>
          <xdr:rowOff>19050</xdr:rowOff>
        </xdr:from>
        <xdr:to>
          <xdr:col>3</xdr:col>
          <xdr:colOff>295275</xdr:colOff>
          <xdr:row>3</xdr:row>
          <xdr:rowOff>371475</xdr:rowOff>
        </xdr:to>
        <xdr:sp macro="" textlink="">
          <xdr:nvSpPr>
            <xdr:cNvPr id="15361" name="Drop Down 1"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xdr:row>
          <xdr:rowOff>9525</xdr:rowOff>
        </xdr:from>
        <xdr:to>
          <xdr:col>3</xdr:col>
          <xdr:colOff>304800</xdr:colOff>
          <xdr:row>10</xdr:row>
          <xdr:rowOff>180975</xdr:rowOff>
        </xdr:to>
        <xdr:sp macro="" textlink="">
          <xdr:nvSpPr>
            <xdr:cNvPr id="15362" name="Spinner 2" hidden="1">
              <a:extLst>
                <a:ext uri="{63B3BB69-23CF-44E3-9099-C40C66FF867C}">
                  <a14:compatExt spid="_x0000_s15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4</xdr:row>
          <xdr:rowOff>9525</xdr:rowOff>
        </xdr:from>
        <xdr:to>
          <xdr:col>3</xdr:col>
          <xdr:colOff>295275</xdr:colOff>
          <xdr:row>4</xdr:row>
          <xdr:rowOff>361950</xdr:rowOff>
        </xdr:to>
        <xdr:sp macro="" textlink="">
          <xdr:nvSpPr>
            <xdr:cNvPr id="15363" name="Drop Down 3" hidden="1">
              <a:extLst>
                <a:ext uri="{63B3BB69-23CF-44E3-9099-C40C66FF867C}">
                  <a14:compatExt spid="_x0000_s15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14</xdr:row>
          <xdr:rowOff>9525</xdr:rowOff>
        </xdr:from>
        <xdr:to>
          <xdr:col>5</xdr:col>
          <xdr:colOff>304800</xdr:colOff>
          <xdr:row>14</xdr:row>
          <xdr:rowOff>371475</xdr:rowOff>
        </xdr:to>
        <xdr:sp macro="" textlink="">
          <xdr:nvSpPr>
            <xdr:cNvPr id="15365" name="Spinner 5" hidden="1">
              <a:extLst>
                <a:ext uri="{63B3BB69-23CF-44E3-9099-C40C66FF867C}">
                  <a14:compatExt spid="_x0000_s15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xdr:row>
          <xdr:rowOff>9525</xdr:rowOff>
        </xdr:from>
        <xdr:to>
          <xdr:col>3</xdr:col>
          <xdr:colOff>304800</xdr:colOff>
          <xdr:row>12</xdr:row>
          <xdr:rowOff>371475</xdr:rowOff>
        </xdr:to>
        <xdr:sp macro="" textlink="">
          <xdr:nvSpPr>
            <xdr:cNvPr id="15366" name="Spinner 6" hidden="1">
              <a:extLst>
                <a:ext uri="{63B3BB69-23CF-44E3-9099-C40C66FF867C}">
                  <a14:compatExt spid="_x0000_s15366"/>
                </a:ext>
              </a:extLst>
            </xdr:cNvPr>
            <xdr:cNvSpPr/>
          </xdr:nvSpPr>
          <xdr:spPr>
            <a:xfrm>
              <a:off x="0" y="0"/>
              <a:ext cx="0" cy="0"/>
            </a:xfrm>
            <a:prstGeom prst="rect">
              <a:avLst/>
            </a:prstGeom>
          </xdr:spPr>
        </xdr:sp>
        <xdr:clientData/>
      </xdr:twoCellAnchor>
    </mc:Choice>
    <mc:Fallback/>
  </mc:AlternateContent>
  <xdr:oneCellAnchor>
    <xdr:from>
      <xdr:col>8</xdr:col>
      <xdr:colOff>314325</xdr:colOff>
      <xdr:row>26</xdr:row>
      <xdr:rowOff>19050</xdr:rowOff>
    </xdr:from>
    <xdr:ext cx="695325" cy="391613"/>
    <xdr:pic>
      <xdr:nvPicPr>
        <xdr:cNvPr id="9" name="Grafik 8">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6543675" y="7762875"/>
          <a:ext cx="695325"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3</xdr:col>
          <xdr:colOff>9525</xdr:colOff>
          <xdr:row>5</xdr:row>
          <xdr:rowOff>9525</xdr:rowOff>
        </xdr:from>
        <xdr:to>
          <xdr:col>3</xdr:col>
          <xdr:colOff>304800</xdr:colOff>
          <xdr:row>6</xdr:row>
          <xdr:rowOff>180975</xdr:rowOff>
        </xdr:to>
        <xdr:sp macro="" textlink="">
          <xdr:nvSpPr>
            <xdr:cNvPr id="15375" name="Spinner 15" hidden="1">
              <a:extLst>
                <a:ext uri="{63B3BB69-23CF-44E3-9099-C40C66FF867C}">
                  <a14:compatExt spid="_x0000_s15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9525</xdr:rowOff>
        </xdr:from>
        <xdr:to>
          <xdr:col>3</xdr:col>
          <xdr:colOff>304800</xdr:colOff>
          <xdr:row>8</xdr:row>
          <xdr:rowOff>180975</xdr:rowOff>
        </xdr:to>
        <xdr:sp macro="" textlink="">
          <xdr:nvSpPr>
            <xdr:cNvPr id="15376" name="Spinner 16" hidden="1">
              <a:extLst>
                <a:ext uri="{63B3BB69-23CF-44E3-9099-C40C66FF867C}">
                  <a14:compatExt spid="_x0000_s15376"/>
                </a:ext>
              </a:extLst>
            </xdr:cNvPr>
            <xdr:cNvSpPr/>
          </xdr:nvSpPr>
          <xdr:spPr>
            <a:xfrm>
              <a:off x="0" y="0"/>
              <a:ext cx="0" cy="0"/>
            </a:xfrm>
            <a:prstGeom prst="rect">
              <a:avLst/>
            </a:prstGeom>
          </xdr:spPr>
        </xdr:sp>
        <xdr:clientData/>
      </xdr:twoCellAnchor>
    </mc:Choice>
    <mc:Fallback/>
  </mc:AlternateContent>
  <xdr:twoCellAnchor>
    <xdr:from>
      <xdr:col>4</xdr:col>
      <xdr:colOff>123825</xdr:colOff>
      <xdr:row>3</xdr:row>
      <xdr:rowOff>0</xdr:rowOff>
    </xdr:from>
    <xdr:to>
      <xdr:col>9</xdr:col>
      <xdr:colOff>0</xdr:colOff>
      <xdr:row>13</xdr:row>
      <xdr:rowOff>0</xdr:rowOff>
    </xdr:to>
    <xdr:graphicFrame macro="">
      <xdr:nvGraphicFramePr>
        <xdr:cNvPr id="20" name="Diagramm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3</xdr:col>
          <xdr:colOff>9525</xdr:colOff>
          <xdr:row>11</xdr:row>
          <xdr:rowOff>9525</xdr:rowOff>
        </xdr:from>
        <xdr:to>
          <xdr:col>3</xdr:col>
          <xdr:colOff>304800</xdr:colOff>
          <xdr:row>11</xdr:row>
          <xdr:rowOff>371475</xdr:rowOff>
        </xdr:to>
        <xdr:sp macro="" textlink="">
          <xdr:nvSpPr>
            <xdr:cNvPr id="15377" name="Spinner 17" hidden="1">
              <a:extLst>
                <a:ext uri="{63B3BB69-23CF-44E3-9099-C40C66FF867C}">
                  <a14:compatExt spid="_x0000_s15377"/>
                </a:ext>
              </a:extLst>
            </xdr:cNvPr>
            <xdr:cNvSpPr/>
          </xdr:nvSpPr>
          <xdr:spPr>
            <a:xfrm>
              <a:off x="0" y="0"/>
              <a:ext cx="0" cy="0"/>
            </a:xfrm>
            <a:prstGeom prst="rect">
              <a:avLst/>
            </a:prstGeom>
          </xdr:spPr>
        </xdr:sp>
        <xdr:clientData/>
      </xdr:twoCellAnchor>
    </mc:Choice>
    <mc:Fallback/>
  </mc:AlternateContent>
  <xdr:twoCellAnchor>
    <xdr:from>
      <xdr:col>1</xdr:col>
      <xdr:colOff>0</xdr:colOff>
      <xdr:row>30</xdr:row>
      <xdr:rowOff>0</xdr:rowOff>
    </xdr:from>
    <xdr:to>
      <xdr:col>2</xdr:col>
      <xdr:colOff>333375</xdr:colOff>
      <xdr:row>32</xdr:row>
      <xdr:rowOff>0</xdr:rowOff>
    </xdr:to>
    <xdr:sp macro="" textlink="">
      <xdr:nvSpPr>
        <xdr:cNvPr id="13" name="Abgerundetes Rechteck 12">
          <a:hlinkClick xmlns:r="http://schemas.openxmlformats.org/officeDocument/2006/relationships" r:id="rId4"/>
        </xdr:cNvPr>
        <xdr:cNvSpPr/>
      </xdr:nvSpPr>
      <xdr:spPr>
        <a:xfrm>
          <a:off x="762000"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baseline="0">
              <a:solidFill>
                <a:schemeClr val="tx1"/>
              </a:solidFill>
              <a:latin typeface="Arial" panose="020B0604020202020204" pitchFamily="34" charset="0"/>
              <a:cs typeface="Arial" panose="020B0604020202020204" pitchFamily="34" charset="0"/>
            </a:rPr>
            <a:t>zurück zur Übersicht</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357188</xdr:colOff>
      <xdr:row>30</xdr:row>
      <xdr:rowOff>0</xdr:rowOff>
    </xdr:from>
    <xdr:to>
      <xdr:col>6</xdr:col>
      <xdr:colOff>509588</xdr:colOff>
      <xdr:row>32</xdr:row>
      <xdr:rowOff>0</xdr:rowOff>
    </xdr:to>
    <xdr:sp macro="" textlink="">
      <xdr:nvSpPr>
        <xdr:cNvPr id="14" name="Abgerundetes Rechteck 13">
          <a:hlinkClick xmlns:r="http://schemas.openxmlformats.org/officeDocument/2006/relationships" r:id="rId5"/>
        </xdr:cNvPr>
        <xdr:cNvSpPr/>
      </xdr:nvSpPr>
      <xdr:spPr>
        <a:xfrm>
          <a:off x="3395663"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a:solidFill>
                <a:schemeClr val="tx1"/>
              </a:solidFill>
              <a:latin typeface="Arial" panose="020B0604020202020204" pitchFamily="34" charset="0"/>
              <a:cs typeface="Arial" panose="020B0604020202020204" pitchFamily="34" charset="0"/>
            </a:rPr>
            <a:t>TMR</a:t>
          </a:r>
        </a:p>
        <a:p>
          <a:pPr algn="ctr"/>
          <a:r>
            <a:rPr lang="de-DE" sz="1100" b="1" baseline="0">
              <a:solidFill>
                <a:schemeClr val="tx1"/>
              </a:solidFill>
              <a:latin typeface="Arial" panose="020B0604020202020204" pitchFamily="34" charset="0"/>
              <a:cs typeface="Arial" panose="020B0604020202020204" pitchFamily="34" charset="0"/>
            </a:rPr>
            <a:t>2. &amp; 3. Laktation</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7</xdr:col>
      <xdr:colOff>647700</xdr:colOff>
      <xdr:row>30</xdr:row>
      <xdr:rowOff>0</xdr:rowOff>
    </xdr:from>
    <xdr:to>
      <xdr:col>9</xdr:col>
      <xdr:colOff>0</xdr:colOff>
      <xdr:row>32</xdr:row>
      <xdr:rowOff>0</xdr:rowOff>
    </xdr:to>
    <xdr:sp macro="" textlink="">
      <xdr:nvSpPr>
        <xdr:cNvPr id="15" name="Abgerundetes Rechteck 14">
          <a:hlinkClick xmlns:r="http://schemas.openxmlformats.org/officeDocument/2006/relationships" r:id="rId6"/>
        </xdr:cNvPr>
        <xdr:cNvSpPr/>
      </xdr:nvSpPr>
      <xdr:spPr>
        <a:xfrm>
          <a:off x="6029325"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a:solidFill>
                <a:schemeClr val="tx1"/>
              </a:solidFill>
              <a:latin typeface="Arial" panose="020B0604020202020204" pitchFamily="34" charset="0"/>
              <a:cs typeface="Arial" panose="020B0604020202020204" pitchFamily="34" charset="0"/>
            </a:rPr>
            <a:t>TMR</a:t>
          </a:r>
        </a:p>
        <a:p>
          <a:pPr algn="ctr"/>
          <a:r>
            <a:rPr lang="de-DE" sz="1100" b="1" baseline="0">
              <a:solidFill>
                <a:schemeClr val="tx1"/>
              </a:solidFill>
              <a:latin typeface="Arial" panose="020B0604020202020204" pitchFamily="34" charset="0"/>
              <a:cs typeface="Arial" panose="020B0604020202020204" pitchFamily="34" charset="0"/>
            </a:rPr>
            <a:t>ab 4. Laktation</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7</xdr:col>
      <xdr:colOff>1000125</xdr:colOff>
      <xdr:row>1</xdr:row>
      <xdr:rowOff>0</xdr:rowOff>
    </xdr:from>
    <xdr:ext cx="1086628" cy="612000"/>
    <xdr:pic>
      <xdr:nvPicPr>
        <xdr:cNvPr id="2" name="Grafi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6381750" y="190500"/>
          <a:ext cx="1086628"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2</xdr:col>
          <xdr:colOff>19050</xdr:colOff>
          <xdr:row>3</xdr:row>
          <xdr:rowOff>19050</xdr:rowOff>
        </xdr:from>
        <xdr:to>
          <xdr:col>3</xdr:col>
          <xdr:colOff>295275</xdr:colOff>
          <xdr:row>3</xdr:row>
          <xdr:rowOff>371475</xdr:rowOff>
        </xdr:to>
        <xdr:sp macro="" textlink="">
          <xdr:nvSpPr>
            <xdr:cNvPr id="22529" name="Drop Down 1" hidden="1">
              <a:extLst>
                <a:ext uri="{63B3BB69-23CF-44E3-9099-C40C66FF867C}">
                  <a14:compatExt spid="_x0000_s22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xdr:row>
          <xdr:rowOff>9525</xdr:rowOff>
        </xdr:from>
        <xdr:to>
          <xdr:col>3</xdr:col>
          <xdr:colOff>304800</xdr:colOff>
          <xdr:row>10</xdr:row>
          <xdr:rowOff>180975</xdr:rowOff>
        </xdr:to>
        <xdr:sp macro="" textlink="">
          <xdr:nvSpPr>
            <xdr:cNvPr id="22530" name="Spinner 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4</xdr:row>
          <xdr:rowOff>9525</xdr:rowOff>
        </xdr:from>
        <xdr:to>
          <xdr:col>3</xdr:col>
          <xdr:colOff>295275</xdr:colOff>
          <xdr:row>4</xdr:row>
          <xdr:rowOff>361950</xdr:rowOff>
        </xdr:to>
        <xdr:sp macro="" textlink="">
          <xdr:nvSpPr>
            <xdr:cNvPr id="22531" name="Drop Down 3" hidden="1">
              <a:extLst>
                <a:ext uri="{63B3BB69-23CF-44E3-9099-C40C66FF867C}">
                  <a14:compatExt spid="_x0000_s22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14</xdr:row>
          <xdr:rowOff>9525</xdr:rowOff>
        </xdr:from>
        <xdr:to>
          <xdr:col>5</xdr:col>
          <xdr:colOff>304800</xdr:colOff>
          <xdr:row>14</xdr:row>
          <xdr:rowOff>371475</xdr:rowOff>
        </xdr:to>
        <xdr:sp macro="" textlink="">
          <xdr:nvSpPr>
            <xdr:cNvPr id="22532" name="Spinner 4" hidden="1">
              <a:extLst>
                <a:ext uri="{63B3BB69-23CF-44E3-9099-C40C66FF867C}">
                  <a14:compatExt spid="_x0000_s22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xdr:row>
          <xdr:rowOff>9525</xdr:rowOff>
        </xdr:from>
        <xdr:to>
          <xdr:col>3</xdr:col>
          <xdr:colOff>304800</xdr:colOff>
          <xdr:row>12</xdr:row>
          <xdr:rowOff>371475</xdr:rowOff>
        </xdr:to>
        <xdr:sp macro="" textlink="">
          <xdr:nvSpPr>
            <xdr:cNvPr id="22533" name="Spinner 5" hidden="1">
              <a:extLst>
                <a:ext uri="{63B3BB69-23CF-44E3-9099-C40C66FF867C}">
                  <a14:compatExt spid="_x0000_s22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5</xdr:row>
          <xdr:rowOff>9525</xdr:rowOff>
        </xdr:from>
        <xdr:to>
          <xdr:col>3</xdr:col>
          <xdr:colOff>304800</xdr:colOff>
          <xdr:row>6</xdr:row>
          <xdr:rowOff>180975</xdr:rowOff>
        </xdr:to>
        <xdr:sp macro="" textlink="">
          <xdr:nvSpPr>
            <xdr:cNvPr id="22534" name="Spinner 6" hidden="1">
              <a:extLst>
                <a:ext uri="{63B3BB69-23CF-44E3-9099-C40C66FF867C}">
                  <a14:compatExt spid="_x0000_s22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9525</xdr:rowOff>
        </xdr:from>
        <xdr:to>
          <xdr:col>3</xdr:col>
          <xdr:colOff>304800</xdr:colOff>
          <xdr:row>8</xdr:row>
          <xdr:rowOff>180975</xdr:rowOff>
        </xdr:to>
        <xdr:sp macro="" textlink="">
          <xdr:nvSpPr>
            <xdr:cNvPr id="22535" name="Spinner 7" hidden="1">
              <a:extLst>
                <a:ext uri="{63B3BB69-23CF-44E3-9099-C40C66FF867C}">
                  <a14:compatExt spid="_x0000_s22535"/>
                </a:ext>
              </a:extLst>
            </xdr:cNvPr>
            <xdr:cNvSpPr/>
          </xdr:nvSpPr>
          <xdr:spPr>
            <a:xfrm>
              <a:off x="0" y="0"/>
              <a:ext cx="0" cy="0"/>
            </a:xfrm>
            <a:prstGeom prst="rect">
              <a:avLst/>
            </a:prstGeom>
          </xdr:spPr>
        </xdr:sp>
        <xdr:clientData/>
      </xdr:twoCellAnchor>
    </mc:Choice>
    <mc:Fallback/>
  </mc:AlternateContent>
  <xdr:twoCellAnchor>
    <xdr:from>
      <xdr:col>4</xdr:col>
      <xdr:colOff>123825</xdr:colOff>
      <xdr:row>3</xdr:row>
      <xdr:rowOff>0</xdr:rowOff>
    </xdr:from>
    <xdr:to>
      <xdr:col>9</xdr:col>
      <xdr:colOff>0</xdr:colOff>
      <xdr:row>13</xdr:row>
      <xdr:rowOff>0</xdr:rowOff>
    </xdr:to>
    <xdr:graphicFrame macro="">
      <xdr:nvGraphicFramePr>
        <xdr:cNvPr id="11" name="Diagramm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3</xdr:col>
          <xdr:colOff>9525</xdr:colOff>
          <xdr:row>11</xdr:row>
          <xdr:rowOff>9525</xdr:rowOff>
        </xdr:from>
        <xdr:to>
          <xdr:col>3</xdr:col>
          <xdr:colOff>304800</xdr:colOff>
          <xdr:row>11</xdr:row>
          <xdr:rowOff>371475</xdr:rowOff>
        </xdr:to>
        <xdr:sp macro="" textlink="">
          <xdr:nvSpPr>
            <xdr:cNvPr id="22536" name="Spinner 8" hidden="1">
              <a:extLst>
                <a:ext uri="{63B3BB69-23CF-44E3-9099-C40C66FF867C}">
                  <a14:compatExt spid="_x0000_s22536"/>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1000125</xdr:colOff>
      <xdr:row>1</xdr:row>
      <xdr:rowOff>0</xdr:rowOff>
    </xdr:from>
    <xdr:ext cx="1086628" cy="612000"/>
    <xdr:pic>
      <xdr:nvPicPr>
        <xdr:cNvPr id="2" name="Grafi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6381750" y="190500"/>
          <a:ext cx="1086628"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2</xdr:col>
          <xdr:colOff>19050</xdr:colOff>
          <xdr:row>3</xdr:row>
          <xdr:rowOff>19050</xdr:rowOff>
        </xdr:from>
        <xdr:to>
          <xdr:col>3</xdr:col>
          <xdr:colOff>295275</xdr:colOff>
          <xdr:row>3</xdr:row>
          <xdr:rowOff>371475</xdr:rowOff>
        </xdr:to>
        <xdr:sp macro="" textlink="">
          <xdr:nvSpPr>
            <xdr:cNvPr id="23553" name="Drop Down 1" hidden="1">
              <a:extLst>
                <a:ext uri="{63B3BB69-23CF-44E3-9099-C40C66FF867C}">
                  <a14:compatExt spid="_x0000_s235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xdr:row>
          <xdr:rowOff>9525</xdr:rowOff>
        </xdr:from>
        <xdr:to>
          <xdr:col>3</xdr:col>
          <xdr:colOff>304800</xdr:colOff>
          <xdr:row>10</xdr:row>
          <xdr:rowOff>180975</xdr:rowOff>
        </xdr:to>
        <xdr:sp macro="" textlink="">
          <xdr:nvSpPr>
            <xdr:cNvPr id="23554" name="Spinner 2" hidden="1">
              <a:extLst>
                <a:ext uri="{63B3BB69-23CF-44E3-9099-C40C66FF867C}">
                  <a14:compatExt spid="_x0000_s235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4</xdr:row>
          <xdr:rowOff>9525</xdr:rowOff>
        </xdr:from>
        <xdr:to>
          <xdr:col>3</xdr:col>
          <xdr:colOff>295275</xdr:colOff>
          <xdr:row>4</xdr:row>
          <xdr:rowOff>361950</xdr:rowOff>
        </xdr:to>
        <xdr:sp macro="" textlink="">
          <xdr:nvSpPr>
            <xdr:cNvPr id="23555" name="Drop Down 3" hidden="1">
              <a:extLst>
                <a:ext uri="{63B3BB69-23CF-44E3-9099-C40C66FF867C}">
                  <a14:compatExt spid="_x0000_s235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14</xdr:row>
          <xdr:rowOff>9525</xdr:rowOff>
        </xdr:from>
        <xdr:to>
          <xdr:col>5</xdr:col>
          <xdr:colOff>304800</xdr:colOff>
          <xdr:row>14</xdr:row>
          <xdr:rowOff>371475</xdr:rowOff>
        </xdr:to>
        <xdr:sp macro="" textlink="">
          <xdr:nvSpPr>
            <xdr:cNvPr id="23556" name="Spinner 4" hidden="1">
              <a:extLst>
                <a:ext uri="{63B3BB69-23CF-44E3-9099-C40C66FF867C}">
                  <a14:compatExt spid="_x0000_s235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xdr:row>
          <xdr:rowOff>9525</xdr:rowOff>
        </xdr:from>
        <xdr:to>
          <xdr:col>3</xdr:col>
          <xdr:colOff>304800</xdr:colOff>
          <xdr:row>12</xdr:row>
          <xdr:rowOff>371475</xdr:rowOff>
        </xdr:to>
        <xdr:sp macro="" textlink="">
          <xdr:nvSpPr>
            <xdr:cNvPr id="23557" name="Spinner 5" hidden="1">
              <a:extLst>
                <a:ext uri="{63B3BB69-23CF-44E3-9099-C40C66FF867C}">
                  <a14:compatExt spid="_x0000_s23557"/>
                </a:ext>
              </a:extLst>
            </xdr:cNvPr>
            <xdr:cNvSpPr/>
          </xdr:nvSpPr>
          <xdr:spPr>
            <a:xfrm>
              <a:off x="0" y="0"/>
              <a:ext cx="0" cy="0"/>
            </a:xfrm>
            <a:prstGeom prst="rect">
              <a:avLst/>
            </a:prstGeom>
          </xdr:spPr>
        </xdr:sp>
        <xdr:clientData/>
      </xdr:twoCellAnchor>
    </mc:Choice>
    <mc:Fallback/>
  </mc:AlternateContent>
  <xdr:oneCellAnchor>
    <xdr:from>
      <xdr:col>8</xdr:col>
      <xdr:colOff>314325</xdr:colOff>
      <xdr:row>26</xdr:row>
      <xdr:rowOff>19050</xdr:rowOff>
    </xdr:from>
    <xdr:ext cx="695325" cy="391613"/>
    <xdr:pic>
      <xdr:nvPicPr>
        <xdr:cNvPr id="8" name="Grafik 7">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6743700" y="7762875"/>
          <a:ext cx="695325" cy="391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xdr:from>
          <xdr:col>3</xdr:col>
          <xdr:colOff>9525</xdr:colOff>
          <xdr:row>5</xdr:row>
          <xdr:rowOff>9525</xdr:rowOff>
        </xdr:from>
        <xdr:to>
          <xdr:col>3</xdr:col>
          <xdr:colOff>304800</xdr:colOff>
          <xdr:row>6</xdr:row>
          <xdr:rowOff>180975</xdr:rowOff>
        </xdr:to>
        <xdr:sp macro="" textlink="">
          <xdr:nvSpPr>
            <xdr:cNvPr id="23558" name="Spinner 6" hidden="1">
              <a:extLst>
                <a:ext uri="{63B3BB69-23CF-44E3-9099-C40C66FF867C}">
                  <a14:compatExt spid="_x0000_s235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9525</xdr:rowOff>
        </xdr:from>
        <xdr:to>
          <xdr:col>3</xdr:col>
          <xdr:colOff>304800</xdr:colOff>
          <xdr:row>8</xdr:row>
          <xdr:rowOff>180975</xdr:rowOff>
        </xdr:to>
        <xdr:sp macro="" textlink="">
          <xdr:nvSpPr>
            <xdr:cNvPr id="23559" name="Spinner 7" hidden="1">
              <a:extLst>
                <a:ext uri="{63B3BB69-23CF-44E3-9099-C40C66FF867C}">
                  <a14:compatExt spid="_x0000_s23559"/>
                </a:ext>
              </a:extLst>
            </xdr:cNvPr>
            <xdr:cNvSpPr/>
          </xdr:nvSpPr>
          <xdr:spPr>
            <a:xfrm>
              <a:off x="0" y="0"/>
              <a:ext cx="0" cy="0"/>
            </a:xfrm>
            <a:prstGeom prst="rect">
              <a:avLst/>
            </a:prstGeom>
          </xdr:spPr>
        </xdr:sp>
        <xdr:clientData/>
      </xdr:twoCellAnchor>
    </mc:Choice>
    <mc:Fallback/>
  </mc:AlternateContent>
  <xdr:twoCellAnchor>
    <xdr:from>
      <xdr:col>4</xdr:col>
      <xdr:colOff>123825</xdr:colOff>
      <xdr:row>3</xdr:row>
      <xdr:rowOff>0</xdr:rowOff>
    </xdr:from>
    <xdr:to>
      <xdr:col>9</xdr:col>
      <xdr:colOff>0</xdr:colOff>
      <xdr:row>13</xdr:row>
      <xdr:rowOff>0</xdr:rowOff>
    </xdr:to>
    <xdr:graphicFrame macro="">
      <xdr:nvGraphicFramePr>
        <xdr:cNvPr id="11" name="Diagramm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3</xdr:col>
          <xdr:colOff>9525</xdr:colOff>
          <xdr:row>11</xdr:row>
          <xdr:rowOff>9525</xdr:rowOff>
        </xdr:from>
        <xdr:to>
          <xdr:col>3</xdr:col>
          <xdr:colOff>304800</xdr:colOff>
          <xdr:row>11</xdr:row>
          <xdr:rowOff>371475</xdr:rowOff>
        </xdr:to>
        <xdr:sp macro="" textlink="">
          <xdr:nvSpPr>
            <xdr:cNvPr id="23560" name="Spinner 8" hidden="1">
              <a:extLst>
                <a:ext uri="{63B3BB69-23CF-44E3-9099-C40C66FF867C}">
                  <a14:compatExt spid="_x0000_s23560"/>
                </a:ext>
              </a:extLst>
            </xdr:cNvPr>
            <xdr:cNvSpPr/>
          </xdr:nvSpPr>
          <xdr:spPr>
            <a:xfrm>
              <a:off x="0" y="0"/>
              <a:ext cx="0" cy="0"/>
            </a:xfrm>
            <a:prstGeom prst="rect">
              <a:avLst/>
            </a:prstGeom>
          </xdr:spPr>
        </xdr:sp>
        <xdr:clientData/>
      </xdr:twoCellAnchor>
    </mc:Choice>
    <mc:Fallback/>
  </mc:AlternateContent>
  <xdr:twoCellAnchor>
    <xdr:from>
      <xdr:col>1</xdr:col>
      <xdr:colOff>0</xdr:colOff>
      <xdr:row>30</xdr:row>
      <xdr:rowOff>0</xdr:rowOff>
    </xdr:from>
    <xdr:to>
      <xdr:col>2</xdr:col>
      <xdr:colOff>333375</xdr:colOff>
      <xdr:row>32</xdr:row>
      <xdr:rowOff>0</xdr:rowOff>
    </xdr:to>
    <xdr:sp macro="" textlink="">
      <xdr:nvSpPr>
        <xdr:cNvPr id="13" name="Abgerundetes Rechteck 12">
          <a:hlinkClick xmlns:r="http://schemas.openxmlformats.org/officeDocument/2006/relationships" r:id="rId4"/>
        </xdr:cNvPr>
        <xdr:cNvSpPr/>
      </xdr:nvSpPr>
      <xdr:spPr>
        <a:xfrm>
          <a:off x="762000"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baseline="0">
              <a:solidFill>
                <a:schemeClr val="tx1"/>
              </a:solidFill>
              <a:latin typeface="Arial" panose="020B0604020202020204" pitchFamily="34" charset="0"/>
              <a:cs typeface="Arial" panose="020B0604020202020204" pitchFamily="34" charset="0"/>
            </a:rPr>
            <a:t>zurück zur Übersicht</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357188</xdr:colOff>
      <xdr:row>30</xdr:row>
      <xdr:rowOff>0</xdr:rowOff>
    </xdr:from>
    <xdr:to>
      <xdr:col>6</xdr:col>
      <xdr:colOff>509588</xdr:colOff>
      <xdr:row>32</xdr:row>
      <xdr:rowOff>0</xdr:rowOff>
    </xdr:to>
    <xdr:sp macro="" textlink="">
      <xdr:nvSpPr>
        <xdr:cNvPr id="15" name="Abgerundetes Rechteck 14">
          <a:hlinkClick xmlns:r="http://schemas.openxmlformats.org/officeDocument/2006/relationships" r:id="rId5"/>
        </xdr:cNvPr>
        <xdr:cNvSpPr/>
      </xdr:nvSpPr>
      <xdr:spPr>
        <a:xfrm>
          <a:off x="3395663"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a:solidFill>
                <a:schemeClr val="tx1"/>
              </a:solidFill>
              <a:latin typeface="Arial" panose="020B0604020202020204" pitchFamily="34" charset="0"/>
              <a:cs typeface="Arial" panose="020B0604020202020204" pitchFamily="34" charset="0"/>
            </a:rPr>
            <a:t>TMR</a:t>
          </a:r>
        </a:p>
        <a:p>
          <a:pPr algn="ctr"/>
          <a:r>
            <a:rPr lang="de-DE" sz="1100" b="1" baseline="0">
              <a:solidFill>
                <a:schemeClr val="tx1"/>
              </a:solidFill>
              <a:latin typeface="Arial" panose="020B0604020202020204" pitchFamily="34" charset="0"/>
              <a:cs typeface="Arial" panose="020B0604020202020204" pitchFamily="34" charset="0"/>
            </a:rPr>
            <a:t>1. Laktation</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twoCellAnchor>
    <xdr:from>
      <xdr:col>7</xdr:col>
      <xdr:colOff>647700</xdr:colOff>
      <xdr:row>30</xdr:row>
      <xdr:rowOff>0</xdr:rowOff>
    </xdr:from>
    <xdr:to>
      <xdr:col>9</xdr:col>
      <xdr:colOff>0</xdr:colOff>
      <xdr:row>32</xdr:row>
      <xdr:rowOff>0</xdr:rowOff>
    </xdr:to>
    <xdr:sp macro="" textlink="">
      <xdr:nvSpPr>
        <xdr:cNvPr id="16" name="Abgerundetes Rechteck 15">
          <a:hlinkClick xmlns:r="http://schemas.openxmlformats.org/officeDocument/2006/relationships" r:id="rId6"/>
        </xdr:cNvPr>
        <xdr:cNvSpPr/>
      </xdr:nvSpPr>
      <xdr:spPr>
        <a:xfrm>
          <a:off x="6029325" y="8353425"/>
          <a:ext cx="1447800" cy="762000"/>
        </a:xfrm>
        <a:prstGeom prst="roundRect">
          <a:avLst/>
        </a:prstGeom>
        <a:solidFill>
          <a:srgbClr val="CED400"/>
        </a:solidFill>
        <a:ln>
          <a:solidFill>
            <a:srgbClr val="90A52C"/>
          </a:solidFill>
        </a:ln>
        <a:effectLst>
          <a:outerShdw blurRad="50800" dist="38100" dir="2700000" sx="102000" sy="102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100" b="1">
              <a:solidFill>
                <a:schemeClr val="tx1"/>
              </a:solidFill>
              <a:latin typeface="Arial" panose="020B0604020202020204" pitchFamily="34" charset="0"/>
              <a:cs typeface="Arial" panose="020B0604020202020204" pitchFamily="34" charset="0"/>
            </a:rPr>
            <a:t>TMR</a:t>
          </a:r>
        </a:p>
        <a:p>
          <a:pPr algn="ctr"/>
          <a:r>
            <a:rPr lang="de-DE" sz="1100" b="1" baseline="0">
              <a:solidFill>
                <a:schemeClr val="tx1"/>
              </a:solidFill>
              <a:latin typeface="Arial" panose="020B0604020202020204" pitchFamily="34" charset="0"/>
              <a:cs typeface="Arial" panose="020B0604020202020204" pitchFamily="34" charset="0"/>
            </a:rPr>
            <a:t>2. &amp; 3. Laktation</a:t>
          </a:r>
          <a:endParaRPr lang="de-DE" sz="1100" b="1">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609600</xdr:colOff>
      <xdr:row>1</xdr:row>
      <xdr:rowOff>0</xdr:rowOff>
    </xdr:from>
    <xdr:ext cx="1086628" cy="612000"/>
    <xdr:pic>
      <xdr:nvPicPr>
        <xdr:cNvPr id="2" name="Grafi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6493"/>
        <a:stretch>
          <a:fillRect/>
        </a:stretch>
      </xdr:blipFill>
      <xdr:spPr bwMode="auto">
        <a:xfrm>
          <a:off x="8382000" y="180975"/>
          <a:ext cx="1086628"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oeller-agrarmarketing.de/vertriebsunterstuetzung/58-beratungstools.html"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www.moeller-agrarmarketing.de/vertriebsunterstuetzung/58-beratungstools.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drawing" Target="../drawings/drawing3.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printerSettings" Target="../printerSettings/printerSettings3.bin"/><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hyperlink" Target="http://www.moeller-agrarmarketing.de/vertriebsunterstuetzung/58-beratungstools.html" TargetMode="External"/><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vmlDrawing" Target="../drawings/vmlDrawing2.v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drawing" Target="../drawings/drawing4.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printerSettings" Target="../printerSettings/printerSettings4.bin"/><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hyperlink" Target="http://www.moeller-agrarmarketing.de/vertriebsunterstuetzung/58-beratungstools.html" TargetMode="External"/><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vmlDrawing" Target="../drawings/vmlDrawing3.v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drawing" Target="../drawings/drawing5.xml"/><Relationship Id="rId7" Type="http://schemas.openxmlformats.org/officeDocument/2006/relationships/ctrlProp" Target="../ctrlProps/ctrlProp51.xml"/><Relationship Id="rId12" Type="http://schemas.openxmlformats.org/officeDocument/2006/relationships/ctrlProp" Target="../ctrlProps/ctrlProp56.xml"/><Relationship Id="rId2" Type="http://schemas.openxmlformats.org/officeDocument/2006/relationships/printerSettings" Target="../printerSettings/printerSettings5.bin"/><Relationship Id="rId1" Type="http://schemas.openxmlformats.org/officeDocument/2006/relationships/hyperlink" Target="http://www.moeller-agrarmarketing.de/vertriebsunterstuetzung/58-beratungstools.html" TargetMode="External"/><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vmlDrawing" Target="../drawings/vmlDrawing4.vml"/><Relationship Id="rId9" Type="http://schemas.openxmlformats.org/officeDocument/2006/relationships/ctrlProp" Target="../ctrlProps/ctrlProp5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drawing" Target="../drawings/drawing6.xml"/><Relationship Id="rId7" Type="http://schemas.openxmlformats.org/officeDocument/2006/relationships/ctrlProp" Target="../ctrlProps/ctrlProp59.xml"/><Relationship Id="rId12" Type="http://schemas.openxmlformats.org/officeDocument/2006/relationships/ctrlProp" Target="../ctrlProps/ctrlProp64.xml"/><Relationship Id="rId2" Type="http://schemas.openxmlformats.org/officeDocument/2006/relationships/printerSettings" Target="../printerSettings/printerSettings6.bin"/><Relationship Id="rId1" Type="http://schemas.openxmlformats.org/officeDocument/2006/relationships/hyperlink" Target="http://www.moeller-agrarmarketing.de/vertriebsunterstuetzung/58-beratungstools.html" TargetMode="External"/><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0" Type="http://schemas.openxmlformats.org/officeDocument/2006/relationships/ctrlProp" Target="../ctrlProps/ctrlProp62.xml"/><Relationship Id="rId4" Type="http://schemas.openxmlformats.org/officeDocument/2006/relationships/vmlDrawing" Target="../drawings/vmlDrawing5.vml"/><Relationship Id="rId9" Type="http://schemas.openxmlformats.org/officeDocument/2006/relationships/ctrlProp" Target="../ctrlProps/ctrlProp6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8.xml"/><Relationship Id="rId3" Type="http://schemas.openxmlformats.org/officeDocument/2006/relationships/drawing" Target="../drawings/drawing7.xml"/><Relationship Id="rId7" Type="http://schemas.openxmlformats.org/officeDocument/2006/relationships/ctrlProp" Target="../ctrlProps/ctrlProp67.xml"/><Relationship Id="rId12" Type="http://schemas.openxmlformats.org/officeDocument/2006/relationships/ctrlProp" Target="../ctrlProps/ctrlProp72.xml"/><Relationship Id="rId2" Type="http://schemas.openxmlformats.org/officeDocument/2006/relationships/printerSettings" Target="../printerSettings/printerSettings7.bin"/><Relationship Id="rId1" Type="http://schemas.openxmlformats.org/officeDocument/2006/relationships/hyperlink" Target="http://www.moeller-agrarmarketing.de/vertriebsunterstuetzung/58-beratungstools.html" TargetMode="External"/><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0" Type="http://schemas.openxmlformats.org/officeDocument/2006/relationships/ctrlProp" Target="../ctrlProps/ctrlProp70.xml"/><Relationship Id="rId4" Type="http://schemas.openxmlformats.org/officeDocument/2006/relationships/vmlDrawing" Target="../drawings/vmlDrawing6.vml"/><Relationship Id="rId9" Type="http://schemas.openxmlformats.org/officeDocument/2006/relationships/ctrlProp" Target="../ctrlProps/ctrlProp6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47"/>
  <sheetViews>
    <sheetView showGridLines="0" workbookViewId="0">
      <selection activeCell="J30" sqref="J30"/>
    </sheetView>
  </sheetViews>
  <sheetFormatPr baseColWidth="10" defaultRowHeight="15" x14ac:dyDescent="0.25"/>
  <cols>
    <col min="1" max="1" width="6.7109375" customWidth="1"/>
    <col min="2" max="8" width="12.7109375" customWidth="1"/>
    <col min="9" max="9" width="5.7109375" customWidth="1"/>
    <col min="10" max="10" width="21.7109375" customWidth="1"/>
    <col min="11" max="11" width="4.7109375" customWidth="1"/>
    <col min="12" max="12" width="21.7109375" customWidth="1"/>
  </cols>
  <sheetData>
    <row r="1" spans="1:41" s="94" customFormat="1" ht="15" customHeight="1" x14ac:dyDescent="0.2">
      <c r="A1" s="92"/>
      <c r="B1" s="92"/>
      <c r="C1" s="92"/>
      <c r="D1" s="93"/>
      <c r="E1" s="92"/>
      <c r="F1" s="92"/>
      <c r="G1" s="92"/>
      <c r="H1" s="93"/>
      <c r="I1" s="93"/>
      <c r="J1" s="95"/>
      <c r="K1" s="96"/>
      <c r="L1" s="95"/>
      <c r="N1" s="254"/>
    </row>
    <row r="2" spans="1:41" s="92" customFormat="1" ht="50.25" customHeight="1" x14ac:dyDescent="0.3">
      <c r="A2" s="97"/>
      <c r="B2" s="433" t="s">
        <v>49</v>
      </c>
      <c r="C2" s="433"/>
      <c r="D2" s="433"/>
      <c r="E2" s="433"/>
      <c r="F2" s="207"/>
      <c r="G2" s="431"/>
      <c r="H2" s="431"/>
      <c r="I2" s="207"/>
      <c r="J2" s="95"/>
      <c r="K2" s="95"/>
      <c r="L2" s="95"/>
      <c r="N2" s="255"/>
      <c r="AL2" s="94"/>
      <c r="AM2" s="94"/>
      <c r="AN2" s="94"/>
      <c r="AO2" s="94"/>
    </row>
    <row r="3" spans="1:41" s="99" customFormat="1" ht="15" customHeight="1" x14ac:dyDescent="0.2">
      <c r="A3" s="97"/>
      <c r="B3" s="432"/>
      <c r="C3" s="432"/>
      <c r="D3" s="98"/>
      <c r="E3" s="134"/>
      <c r="F3" s="134"/>
      <c r="G3" s="208"/>
      <c r="H3" s="98"/>
      <c r="I3" s="98"/>
      <c r="J3" s="100"/>
      <c r="K3" s="101"/>
      <c r="L3" s="100"/>
      <c r="N3" s="256"/>
      <c r="Q3" s="92"/>
    </row>
    <row r="4" spans="1:41" x14ac:dyDescent="0.25">
      <c r="B4" s="228" t="s">
        <v>127</v>
      </c>
    </row>
    <row r="5" spans="1:41" x14ac:dyDescent="0.25">
      <c r="B5" s="430" t="s">
        <v>126</v>
      </c>
      <c r="C5" s="430"/>
      <c r="D5" s="430"/>
      <c r="E5" s="430"/>
      <c r="F5" s="430"/>
      <c r="G5" s="430"/>
      <c r="H5" s="430"/>
    </row>
    <row r="6" spans="1:41" x14ac:dyDescent="0.25">
      <c r="B6" s="430"/>
      <c r="C6" s="430"/>
      <c r="D6" s="430"/>
      <c r="E6" s="430"/>
      <c r="F6" s="430"/>
      <c r="G6" s="430"/>
      <c r="H6" s="430"/>
    </row>
    <row r="7" spans="1:41" x14ac:dyDescent="0.25">
      <c r="B7" s="430"/>
      <c r="C7" s="430"/>
      <c r="D7" s="430"/>
      <c r="E7" s="430"/>
      <c r="F7" s="430"/>
      <c r="G7" s="430"/>
      <c r="H7" s="430"/>
    </row>
    <row r="8" spans="1:41" x14ac:dyDescent="0.25">
      <c r="B8" s="430"/>
      <c r="C8" s="430"/>
      <c r="D8" s="430"/>
      <c r="E8" s="430"/>
      <c r="F8" s="430"/>
      <c r="G8" s="430"/>
      <c r="H8" s="430"/>
    </row>
    <row r="9" spans="1:41" x14ac:dyDescent="0.25">
      <c r="B9" s="228" t="s">
        <v>128</v>
      </c>
    </row>
    <row r="10" spans="1:41" x14ac:dyDescent="0.25">
      <c r="B10" s="430" t="s">
        <v>129</v>
      </c>
      <c r="C10" s="430"/>
      <c r="D10" s="430"/>
      <c r="E10" s="430"/>
      <c r="F10" s="430"/>
      <c r="G10" s="430"/>
      <c r="H10" s="430"/>
    </row>
    <row r="11" spans="1:41" x14ac:dyDescent="0.25">
      <c r="B11" s="430"/>
      <c r="C11" s="430"/>
      <c r="D11" s="430"/>
      <c r="E11" s="430"/>
      <c r="F11" s="430"/>
      <c r="G11" s="430"/>
      <c r="H11" s="430"/>
    </row>
    <row r="12" spans="1:41" x14ac:dyDescent="0.25">
      <c r="B12" s="430"/>
      <c r="C12" s="430"/>
      <c r="D12" s="430"/>
      <c r="E12" s="430"/>
      <c r="F12" s="430"/>
      <c r="G12" s="430"/>
      <c r="H12" s="430"/>
    </row>
    <row r="13" spans="1:41" x14ac:dyDescent="0.25">
      <c r="B13" s="430"/>
      <c r="C13" s="430"/>
      <c r="D13" s="430"/>
      <c r="E13" s="430"/>
      <c r="F13" s="430"/>
      <c r="G13" s="430"/>
      <c r="H13" s="430"/>
    </row>
    <row r="14" spans="1:41" x14ac:dyDescent="0.25">
      <c r="B14" s="430"/>
      <c r="C14" s="430"/>
      <c r="D14" s="430"/>
      <c r="E14" s="430"/>
      <c r="F14" s="430"/>
      <c r="G14" s="430"/>
      <c r="H14" s="430"/>
    </row>
    <row r="15" spans="1:41" x14ac:dyDescent="0.25">
      <c r="B15" s="430"/>
      <c r="C15" s="430"/>
      <c r="D15" s="430"/>
      <c r="E15" s="430"/>
      <c r="F15" s="430"/>
      <c r="G15" s="430"/>
      <c r="H15" s="430"/>
    </row>
    <row r="16" spans="1:41" x14ac:dyDescent="0.25">
      <c r="B16" s="430"/>
      <c r="C16" s="430"/>
      <c r="D16" s="430"/>
      <c r="E16" s="430"/>
      <c r="F16" s="430"/>
      <c r="G16" s="430"/>
      <c r="H16" s="430"/>
    </row>
    <row r="17" spans="2:8" x14ac:dyDescent="0.25">
      <c r="B17" s="430"/>
      <c r="C17" s="430"/>
      <c r="D17" s="430"/>
      <c r="E17" s="430"/>
      <c r="F17" s="430"/>
      <c r="G17" s="430"/>
      <c r="H17" s="430"/>
    </row>
    <row r="18" spans="2:8" x14ac:dyDescent="0.25">
      <c r="B18" s="228" t="s">
        <v>171</v>
      </c>
    </row>
    <row r="19" spans="2:8" ht="15" customHeight="1" x14ac:dyDescent="0.25">
      <c r="B19" s="429" t="s">
        <v>172</v>
      </c>
      <c r="C19" s="429"/>
      <c r="D19" s="429"/>
      <c r="E19" s="429"/>
      <c r="F19" s="429"/>
      <c r="G19" s="429"/>
      <c r="H19" s="429"/>
    </row>
    <row r="20" spans="2:8" x14ac:dyDescent="0.25">
      <c r="B20" s="429"/>
      <c r="C20" s="429"/>
      <c r="D20" s="429"/>
      <c r="E20" s="429"/>
      <c r="F20" s="429"/>
      <c r="G20" s="429"/>
      <c r="H20" s="429"/>
    </row>
    <row r="21" spans="2:8" x14ac:dyDescent="0.25">
      <c r="B21" s="429"/>
      <c r="C21" s="429"/>
      <c r="D21" s="429"/>
      <c r="E21" s="429"/>
      <c r="F21" s="429"/>
      <c r="G21" s="429"/>
      <c r="H21" s="429"/>
    </row>
    <row r="22" spans="2:8" x14ac:dyDescent="0.25">
      <c r="B22" s="429"/>
      <c r="C22" s="429"/>
      <c r="D22" s="429"/>
      <c r="E22" s="429"/>
      <c r="F22" s="429"/>
      <c r="G22" s="429"/>
      <c r="H22" s="429"/>
    </row>
    <row r="23" spans="2:8" x14ac:dyDescent="0.25">
      <c r="B23" s="429" t="s">
        <v>175</v>
      </c>
      <c r="C23" s="430"/>
      <c r="D23" s="430"/>
      <c r="E23" s="430"/>
      <c r="F23" s="430"/>
      <c r="G23" s="430"/>
      <c r="H23" s="430"/>
    </row>
    <row r="24" spans="2:8" x14ac:dyDescent="0.25">
      <c r="B24" s="430"/>
      <c r="C24" s="430"/>
      <c r="D24" s="430"/>
      <c r="E24" s="430"/>
      <c r="F24" s="430"/>
      <c r="G24" s="430"/>
      <c r="H24" s="430"/>
    </row>
    <row r="25" spans="2:8" x14ac:dyDescent="0.25">
      <c r="B25" s="430"/>
      <c r="C25" s="430"/>
      <c r="D25" s="430"/>
      <c r="E25" s="430"/>
      <c r="F25" s="430"/>
      <c r="G25" s="430"/>
      <c r="H25" s="430"/>
    </row>
    <row r="26" spans="2:8" x14ac:dyDescent="0.25">
      <c r="B26" s="430"/>
      <c r="C26" s="430"/>
      <c r="D26" s="430"/>
      <c r="E26" s="430"/>
      <c r="F26" s="430"/>
      <c r="G26" s="430"/>
      <c r="H26" s="430"/>
    </row>
    <row r="27" spans="2:8" x14ac:dyDescent="0.25">
      <c r="B27" s="430"/>
      <c r="C27" s="430"/>
      <c r="D27" s="430"/>
      <c r="E27" s="430"/>
      <c r="F27" s="430"/>
      <c r="G27" s="430"/>
      <c r="H27" s="430"/>
    </row>
    <row r="28" spans="2:8" x14ac:dyDescent="0.25">
      <c r="B28" s="430"/>
      <c r="C28" s="430"/>
      <c r="D28" s="430"/>
      <c r="E28" s="430"/>
      <c r="F28" s="430"/>
      <c r="G28" s="430"/>
      <c r="H28" s="430"/>
    </row>
    <row r="29" spans="2:8" x14ac:dyDescent="0.25">
      <c r="B29" s="430"/>
      <c r="C29" s="430"/>
      <c r="D29" s="430"/>
      <c r="E29" s="430"/>
      <c r="F29" s="430"/>
      <c r="G29" s="430"/>
      <c r="H29" s="430"/>
    </row>
    <row r="30" spans="2:8" x14ac:dyDescent="0.25">
      <c r="B30" s="430"/>
      <c r="C30" s="430"/>
      <c r="D30" s="430"/>
      <c r="E30" s="430"/>
      <c r="F30" s="430"/>
      <c r="G30" s="430"/>
      <c r="H30" s="430"/>
    </row>
    <row r="31" spans="2:8" x14ac:dyDescent="0.25">
      <c r="B31" s="430"/>
      <c r="C31" s="430"/>
      <c r="D31" s="430"/>
      <c r="E31" s="430"/>
      <c r="F31" s="430"/>
      <c r="G31" s="430"/>
      <c r="H31" s="430"/>
    </row>
    <row r="32" spans="2:8" x14ac:dyDescent="0.25">
      <c r="B32" s="430"/>
      <c r="C32" s="430"/>
      <c r="D32" s="430"/>
      <c r="E32" s="430"/>
      <c r="F32" s="430"/>
      <c r="G32" s="430"/>
      <c r="H32" s="430"/>
    </row>
    <row r="33" spans="1:65" x14ac:dyDescent="0.25">
      <c r="B33" s="430"/>
      <c r="C33" s="430"/>
      <c r="D33" s="430"/>
      <c r="E33" s="430"/>
      <c r="F33" s="430"/>
      <c r="G33" s="430"/>
      <c r="H33" s="430"/>
    </row>
    <row r="34" spans="1:65" ht="21" customHeight="1" x14ac:dyDescent="0.25">
      <c r="B34" s="430"/>
      <c r="C34" s="430"/>
      <c r="D34" s="430"/>
      <c r="E34" s="430"/>
      <c r="F34" s="430"/>
      <c r="G34" s="430"/>
      <c r="H34" s="430"/>
    </row>
    <row r="35" spans="1:65" x14ac:dyDescent="0.25">
      <c r="B35" s="430"/>
      <c r="C35" s="430"/>
      <c r="D35" s="430"/>
      <c r="E35" s="430"/>
      <c r="F35" s="430"/>
      <c r="G35" s="430"/>
      <c r="H35" s="430"/>
    </row>
    <row r="36" spans="1:65" x14ac:dyDescent="0.25">
      <c r="B36" s="430"/>
      <c r="C36" s="430"/>
      <c r="D36" s="430"/>
      <c r="E36" s="430"/>
      <c r="F36" s="430"/>
      <c r="G36" s="430"/>
      <c r="H36" s="430"/>
    </row>
    <row r="37" spans="1:65" x14ac:dyDescent="0.25">
      <c r="B37" s="430"/>
      <c r="C37" s="430"/>
      <c r="D37" s="430"/>
      <c r="E37" s="430"/>
      <c r="F37" s="430"/>
      <c r="G37" s="430"/>
      <c r="H37" s="430"/>
    </row>
    <row r="38" spans="1:65" x14ac:dyDescent="0.25">
      <c r="B38" s="273" t="s">
        <v>173</v>
      </c>
    </row>
    <row r="40" spans="1:65" s="143" customFormat="1" ht="11.25" customHeight="1" x14ac:dyDescent="0.2">
      <c r="A40" s="138"/>
      <c r="B40" s="139" t="s">
        <v>89</v>
      </c>
      <c r="C40" s="140"/>
      <c r="D40" s="140"/>
      <c r="E40" s="140"/>
      <c r="F40" s="140"/>
      <c r="G40" s="140"/>
      <c r="H40" s="140"/>
      <c r="I40" s="153"/>
      <c r="J40" s="141"/>
      <c r="K40" s="142"/>
      <c r="L40" s="141"/>
      <c r="M40" s="252"/>
      <c r="N40" s="142"/>
      <c r="O40" s="257"/>
      <c r="P40" s="142"/>
      <c r="Q40" s="142"/>
      <c r="R40" s="142"/>
      <c r="S40" s="142"/>
      <c r="T40" s="142"/>
    </row>
    <row r="41" spans="1:65" s="147" customFormat="1" ht="11.25" customHeight="1" x14ac:dyDescent="0.2">
      <c r="A41" s="144"/>
      <c r="B41" s="145" t="s">
        <v>90</v>
      </c>
      <c r="C41" s="146"/>
      <c r="D41" s="146"/>
      <c r="E41" s="146"/>
      <c r="F41" s="146"/>
      <c r="G41" s="146"/>
      <c r="H41" s="146"/>
      <c r="I41" s="153"/>
      <c r="J41" s="141"/>
      <c r="K41" s="94"/>
      <c r="L41" s="141"/>
      <c r="M41" s="92"/>
      <c r="N41" s="94"/>
      <c r="O41" s="254"/>
      <c r="P41" s="94"/>
      <c r="Q41" s="94"/>
      <c r="R41" s="94"/>
      <c r="S41" s="94"/>
      <c r="T41" s="94"/>
    </row>
    <row r="42" spans="1:65" s="147" customFormat="1" ht="11.25" customHeight="1" x14ac:dyDescent="0.2">
      <c r="A42" s="144"/>
      <c r="B42" s="148" t="s">
        <v>91</v>
      </c>
      <c r="C42" s="149"/>
      <c r="D42" s="149"/>
      <c r="E42" s="149"/>
      <c r="F42" s="149"/>
      <c r="G42" s="149"/>
      <c r="H42" s="149"/>
      <c r="I42" s="153"/>
      <c r="J42" s="141"/>
      <c r="K42" s="94"/>
      <c r="L42" s="141"/>
      <c r="M42" s="92"/>
      <c r="N42" s="94"/>
      <c r="O42" s="25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BB42" s="94"/>
      <c r="BC42" s="94"/>
      <c r="BD42" s="94"/>
      <c r="BE42" s="94"/>
      <c r="BF42" s="94"/>
      <c r="BG42" s="94"/>
      <c r="BH42" s="94"/>
      <c r="BI42" s="94"/>
      <c r="BJ42" s="94"/>
      <c r="BK42" s="94"/>
      <c r="BL42" s="94"/>
      <c r="BM42" s="94"/>
    </row>
    <row r="43" spans="1:65" s="150" customFormat="1" ht="14.25" x14ac:dyDescent="0.2">
      <c r="I43" s="153"/>
      <c r="J43" s="141"/>
      <c r="L43" s="141"/>
      <c r="O43" s="258"/>
    </row>
    <row r="44" spans="1:65" s="151" customFormat="1" x14ac:dyDescent="0.25">
      <c r="B44" s="263" t="s">
        <v>92</v>
      </c>
      <c r="C44" s="152"/>
      <c r="D44" s="153"/>
      <c r="E44" s="153"/>
      <c r="F44" s="153"/>
      <c r="G44" s="153"/>
      <c r="H44" s="153"/>
      <c r="I44" s="153"/>
      <c r="J44" s="141"/>
      <c r="K44" s="153"/>
      <c r="L44" s="141"/>
      <c r="M44" s="153"/>
      <c r="N44" s="153"/>
      <c r="O44" s="259"/>
      <c r="P44" s="153"/>
      <c r="Q44" s="153"/>
    </row>
    <row r="45" spans="1:65" s="151" customFormat="1" x14ac:dyDescent="0.25">
      <c r="B45" s="154">
        <v>46022</v>
      </c>
      <c r="C45" s="152"/>
      <c r="D45" s="153"/>
      <c r="E45" s="153"/>
      <c r="F45" s="153"/>
      <c r="G45" s="153"/>
      <c r="H45" s="153"/>
      <c r="I45" s="153"/>
      <c r="J45" s="153"/>
      <c r="K45" s="153"/>
      <c r="L45" s="153"/>
      <c r="M45" s="153"/>
      <c r="N45" s="153"/>
      <c r="O45" s="259"/>
      <c r="P45" s="153"/>
      <c r="Q45" s="153"/>
    </row>
    <row r="46" spans="1:65" s="151" customFormat="1" ht="14.25" x14ac:dyDescent="0.2">
      <c r="B46" s="338" t="str">
        <f ca="1">IF(B45-B47&gt;=0,B45-B47,"abgelaufen")</f>
        <v>abgelaufen</v>
      </c>
      <c r="C46" s="284" t="s">
        <v>139</v>
      </c>
      <c r="D46" s="153"/>
      <c r="E46" s="153"/>
      <c r="F46" s="153"/>
      <c r="G46" s="153"/>
      <c r="H46" s="153"/>
      <c r="I46" s="153"/>
      <c r="J46" s="153"/>
      <c r="K46" s="153"/>
      <c r="L46" s="153"/>
      <c r="M46" s="153"/>
      <c r="N46" s="153"/>
      <c r="O46" s="259"/>
      <c r="P46" s="153"/>
      <c r="Q46" s="153"/>
    </row>
    <row r="47" spans="1:65" s="151" customFormat="1" hidden="1" x14ac:dyDescent="0.25">
      <c r="B47" s="155">
        <f ca="1">TODAY()</f>
        <v>46029</v>
      </c>
      <c r="C47" s="152"/>
      <c r="D47" s="153"/>
      <c r="E47" s="153"/>
      <c r="F47" s="153"/>
      <c r="G47" s="153"/>
      <c r="H47" s="153"/>
      <c r="I47" s="153"/>
      <c r="J47" s="153"/>
      <c r="K47" s="153"/>
      <c r="L47" s="153"/>
      <c r="M47" s="153"/>
      <c r="N47" s="153"/>
      <c r="O47" s="259"/>
      <c r="P47" s="153"/>
      <c r="Q47" s="153"/>
    </row>
  </sheetData>
  <sheetProtection password="CF35" sheet="1" objects="1" scenarios="1" insertHyperlinks="0" selectLockedCells="1"/>
  <mergeCells count="7">
    <mergeCell ref="B19:H22"/>
    <mergeCell ref="B23:H37"/>
    <mergeCell ref="G2:H2"/>
    <mergeCell ref="B3:C3"/>
    <mergeCell ref="B5:H8"/>
    <mergeCell ref="B10:H17"/>
    <mergeCell ref="B2:E2"/>
  </mergeCells>
  <conditionalFormatting sqref="B38">
    <cfRule type="expression" dxfId="117" priority="1">
      <formula>$B$45&lt;$B$47</formula>
    </cfRule>
  </conditionalFormatting>
  <hyperlinks>
    <hyperlink ref="B40" r:id="rId1" display="© Copyright: Möller Agrarmarketing e.K."/>
  </hyperlinks>
  <printOptions horizontalCentered="1"/>
  <pageMargins left="0.70866141732283472" right="0.70866141732283472" top="0.78740157480314965" bottom="0.78740157480314965" header="0.31496062992125984" footer="0.31496062992125984"/>
  <pageSetup paperSize="9" scale="82"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workbookViewId="0">
      <selection activeCell="A6" sqref="A6:A14"/>
    </sheetView>
  </sheetViews>
  <sheetFormatPr baseColWidth="10" defaultColWidth="9.85546875" defaultRowHeight="12.75" x14ac:dyDescent="0.25"/>
  <cols>
    <col min="1" max="1" width="9.85546875" style="83"/>
    <col min="2" max="2" width="15.7109375" style="83" customWidth="1"/>
    <col min="3" max="13" width="9.85546875" style="83" customWidth="1"/>
    <col min="14" max="14" width="14" style="83" customWidth="1"/>
    <col min="15" max="25" width="9.85546875" style="83" customWidth="1"/>
    <col min="26" max="16384" width="9.85546875" style="83"/>
  </cols>
  <sheetData>
    <row r="1" spans="1:25" ht="20.25" customHeight="1" x14ac:dyDescent="0.25"/>
    <row r="2" spans="1:25" s="84" customFormat="1" ht="30" customHeight="1" x14ac:dyDescent="0.25">
      <c r="B2" s="84" t="s">
        <v>24</v>
      </c>
      <c r="C2" s="85" t="s">
        <v>77</v>
      </c>
      <c r="L2" s="83"/>
      <c r="N2" s="307" t="s">
        <v>79</v>
      </c>
      <c r="O2" s="85" t="s">
        <v>77</v>
      </c>
    </row>
    <row r="3" spans="1:25" ht="20.25" customHeight="1" x14ac:dyDescent="0.25"/>
    <row r="4" spans="1:25" ht="20.25" customHeight="1" x14ac:dyDescent="0.25">
      <c r="A4" s="86"/>
      <c r="B4" s="91">
        <v>1</v>
      </c>
      <c r="C4" s="91">
        <v>2</v>
      </c>
      <c r="D4" s="91">
        <v>3</v>
      </c>
      <c r="E4" s="91">
        <v>4</v>
      </c>
      <c r="F4" s="91">
        <v>5</v>
      </c>
      <c r="G4" s="91">
        <v>6</v>
      </c>
      <c r="H4" s="91">
        <v>7</v>
      </c>
      <c r="I4" s="91">
        <v>8</v>
      </c>
      <c r="J4" s="91">
        <v>9</v>
      </c>
      <c r="K4" s="91">
        <v>10</v>
      </c>
      <c r="L4" s="91">
        <v>11</v>
      </c>
      <c r="N4" s="87"/>
      <c r="O4" s="91">
        <v>1</v>
      </c>
      <c r="P4" s="91">
        <v>2</v>
      </c>
      <c r="Q4" s="91">
        <v>3</v>
      </c>
      <c r="R4" s="91">
        <v>4</v>
      </c>
      <c r="S4" s="91">
        <v>5</v>
      </c>
      <c r="T4" s="91">
        <v>6</v>
      </c>
      <c r="U4" s="91">
        <v>7</v>
      </c>
      <c r="V4" s="91">
        <v>8</v>
      </c>
      <c r="W4" s="91">
        <v>9</v>
      </c>
      <c r="X4" s="91">
        <v>10</v>
      </c>
      <c r="Y4" s="91">
        <v>11</v>
      </c>
    </row>
    <row r="5" spans="1:25" ht="20.25" customHeight="1" x14ac:dyDescent="0.25">
      <c r="A5" s="86" t="s">
        <v>78</v>
      </c>
      <c r="B5" s="130">
        <v>6500</v>
      </c>
      <c r="C5" s="131">
        <v>7000</v>
      </c>
      <c r="D5" s="130">
        <v>7500</v>
      </c>
      <c r="E5" s="131">
        <v>8000</v>
      </c>
      <c r="F5" s="130">
        <v>8500</v>
      </c>
      <c r="G5" s="131">
        <v>9000</v>
      </c>
      <c r="H5" s="130">
        <v>9500</v>
      </c>
      <c r="I5" s="131">
        <v>10000</v>
      </c>
      <c r="J5" s="130">
        <v>10500</v>
      </c>
      <c r="K5" s="132">
        <f>(J5+L5)/2</f>
        <v>11000</v>
      </c>
      <c r="L5" s="133">
        <v>11500</v>
      </c>
      <c r="N5" s="86" t="s">
        <v>78</v>
      </c>
      <c r="O5" s="87">
        <v>6500</v>
      </c>
      <c r="P5" s="89">
        <f t="shared" ref="P5:P14" si="0">(O5+Q5)/2</f>
        <v>7000</v>
      </c>
      <c r="Q5" s="87">
        <v>7500</v>
      </c>
      <c r="R5" s="89">
        <f t="shared" ref="R5:R14" si="1">(Q5+S5)/2</f>
        <v>8000</v>
      </c>
      <c r="S5" s="87">
        <v>8500</v>
      </c>
      <c r="T5" s="89">
        <f t="shared" ref="T5:T14" si="2">(S5+U5)/2</f>
        <v>9000</v>
      </c>
      <c r="U5" s="87">
        <v>9500</v>
      </c>
      <c r="V5" s="89">
        <f t="shared" ref="V5:V14" si="3">(U5+W5)/2</f>
        <v>10000</v>
      </c>
      <c r="W5" s="87">
        <v>10500</v>
      </c>
      <c r="X5" s="89">
        <f t="shared" ref="X5:X14" si="4">(W5+Y5)/2</f>
        <v>11000</v>
      </c>
      <c r="Y5" s="87">
        <v>11500</v>
      </c>
    </row>
    <row r="6" spans="1:25" ht="20.25" customHeight="1" x14ac:dyDescent="0.25">
      <c r="A6" s="86">
        <v>20</v>
      </c>
      <c r="B6" s="88">
        <v>25</v>
      </c>
      <c r="C6" s="90">
        <f t="shared" ref="C6:C14" si="5">(B6+D6)/2</f>
        <v>26</v>
      </c>
      <c r="D6" s="88">
        <v>27</v>
      </c>
      <c r="E6" s="90">
        <f t="shared" ref="E6:E14" si="6">(D6+F6)/2</f>
        <v>28.5</v>
      </c>
      <c r="F6" s="88">
        <v>30</v>
      </c>
      <c r="G6" s="90">
        <f t="shared" ref="G6:G14" si="7">(F6+H6)/2</f>
        <v>31</v>
      </c>
      <c r="H6" s="88">
        <v>32</v>
      </c>
      <c r="I6" s="90">
        <f t="shared" ref="I6:I14" si="8">(H6+J6)/2</f>
        <v>33.5</v>
      </c>
      <c r="J6" s="88">
        <v>35</v>
      </c>
      <c r="K6" s="87" t="s">
        <v>33</v>
      </c>
      <c r="L6" s="87" t="s">
        <v>33</v>
      </c>
      <c r="N6" s="86">
        <v>20</v>
      </c>
      <c r="O6" s="88">
        <v>29</v>
      </c>
      <c r="P6" s="90">
        <f t="shared" si="0"/>
        <v>30.5</v>
      </c>
      <c r="Q6" s="88">
        <v>32</v>
      </c>
      <c r="R6" s="90">
        <f t="shared" si="1"/>
        <v>34</v>
      </c>
      <c r="S6" s="88">
        <v>36</v>
      </c>
      <c r="T6" s="90">
        <f t="shared" si="2"/>
        <v>37.5</v>
      </c>
      <c r="U6" s="88">
        <v>39</v>
      </c>
      <c r="V6" s="90">
        <f t="shared" si="3"/>
        <v>40.5</v>
      </c>
      <c r="W6" s="88">
        <v>42</v>
      </c>
      <c r="X6" s="90">
        <f t="shared" si="4"/>
        <v>43.5</v>
      </c>
      <c r="Y6" s="88">
        <v>45</v>
      </c>
    </row>
    <row r="7" spans="1:25" ht="20.25" customHeight="1" x14ac:dyDescent="0.25">
      <c r="A7" s="86">
        <v>40</v>
      </c>
      <c r="B7" s="88">
        <v>26</v>
      </c>
      <c r="C7" s="90">
        <f t="shared" si="5"/>
        <v>27.5</v>
      </c>
      <c r="D7" s="88">
        <v>29</v>
      </c>
      <c r="E7" s="90">
        <f t="shared" si="6"/>
        <v>30.5</v>
      </c>
      <c r="F7" s="88">
        <v>32</v>
      </c>
      <c r="G7" s="90">
        <f t="shared" si="7"/>
        <v>33.5</v>
      </c>
      <c r="H7" s="88">
        <v>35</v>
      </c>
      <c r="I7" s="90">
        <f t="shared" si="8"/>
        <v>36.5</v>
      </c>
      <c r="J7" s="88">
        <v>38</v>
      </c>
      <c r="K7" s="87" t="s">
        <v>33</v>
      </c>
      <c r="L7" s="87" t="s">
        <v>33</v>
      </c>
      <c r="N7" s="86">
        <v>40</v>
      </c>
      <c r="O7" s="88">
        <v>30</v>
      </c>
      <c r="P7" s="90">
        <f t="shared" si="0"/>
        <v>31.5</v>
      </c>
      <c r="Q7" s="88">
        <v>33</v>
      </c>
      <c r="R7" s="90">
        <f t="shared" si="1"/>
        <v>35</v>
      </c>
      <c r="S7" s="88">
        <v>37</v>
      </c>
      <c r="T7" s="90">
        <f t="shared" si="2"/>
        <v>38.5</v>
      </c>
      <c r="U7" s="88">
        <v>40</v>
      </c>
      <c r="V7" s="90">
        <f t="shared" si="3"/>
        <v>42</v>
      </c>
      <c r="W7" s="88">
        <v>44</v>
      </c>
      <c r="X7" s="90">
        <f t="shared" si="4"/>
        <v>46</v>
      </c>
      <c r="Y7" s="88">
        <v>48</v>
      </c>
    </row>
    <row r="8" spans="1:25" ht="20.25" customHeight="1" x14ac:dyDescent="0.25">
      <c r="A8" s="86">
        <v>60</v>
      </c>
      <c r="B8" s="88">
        <v>25</v>
      </c>
      <c r="C8" s="90">
        <f t="shared" si="5"/>
        <v>26.5</v>
      </c>
      <c r="D8" s="88">
        <v>28</v>
      </c>
      <c r="E8" s="90">
        <f t="shared" si="6"/>
        <v>30</v>
      </c>
      <c r="F8" s="88">
        <v>32</v>
      </c>
      <c r="G8" s="90">
        <f t="shared" si="7"/>
        <v>33.5</v>
      </c>
      <c r="H8" s="88">
        <v>35</v>
      </c>
      <c r="I8" s="90">
        <f t="shared" si="8"/>
        <v>36.5</v>
      </c>
      <c r="J8" s="88">
        <v>38</v>
      </c>
      <c r="K8" s="87" t="s">
        <v>33</v>
      </c>
      <c r="L8" s="87" t="s">
        <v>33</v>
      </c>
      <c r="N8" s="86">
        <v>60</v>
      </c>
      <c r="O8" s="88">
        <v>28</v>
      </c>
      <c r="P8" s="90">
        <f t="shared" si="0"/>
        <v>30</v>
      </c>
      <c r="Q8" s="88">
        <v>32</v>
      </c>
      <c r="R8" s="90">
        <f t="shared" si="1"/>
        <v>34</v>
      </c>
      <c r="S8" s="88">
        <v>36</v>
      </c>
      <c r="T8" s="90">
        <f t="shared" si="2"/>
        <v>37.5</v>
      </c>
      <c r="U8" s="88">
        <v>39</v>
      </c>
      <c r="V8" s="90">
        <f t="shared" si="3"/>
        <v>41</v>
      </c>
      <c r="W8" s="88">
        <v>43</v>
      </c>
      <c r="X8" s="90">
        <f t="shared" si="4"/>
        <v>45</v>
      </c>
      <c r="Y8" s="88">
        <v>47</v>
      </c>
    </row>
    <row r="9" spans="1:25" ht="20.25" customHeight="1" x14ac:dyDescent="0.25">
      <c r="A9" s="86">
        <v>100</v>
      </c>
      <c r="B9" s="88">
        <v>23</v>
      </c>
      <c r="C9" s="90">
        <f t="shared" si="5"/>
        <v>25</v>
      </c>
      <c r="D9" s="88">
        <v>27</v>
      </c>
      <c r="E9" s="90">
        <f t="shared" si="6"/>
        <v>28.5</v>
      </c>
      <c r="F9" s="88">
        <v>30</v>
      </c>
      <c r="G9" s="90">
        <f t="shared" si="7"/>
        <v>31.5</v>
      </c>
      <c r="H9" s="88">
        <v>33</v>
      </c>
      <c r="I9" s="90">
        <f t="shared" si="8"/>
        <v>35</v>
      </c>
      <c r="J9" s="88">
        <v>37</v>
      </c>
      <c r="K9" s="87" t="s">
        <v>33</v>
      </c>
      <c r="L9" s="87" t="s">
        <v>33</v>
      </c>
      <c r="N9" s="86">
        <v>100</v>
      </c>
      <c r="O9" s="88">
        <v>25</v>
      </c>
      <c r="P9" s="90">
        <f t="shared" si="0"/>
        <v>27</v>
      </c>
      <c r="Q9" s="88">
        <v>29</v>
      </c>
      <c r="R9" s="90">
        <f t="shared" si="1"/>
        <v>30.5</v>
      </c>
      <c r="S9" s="88">
        <v>32</v>
      </c>
      <c r="T9" s="90">
        <f t="shared" si="2"/>
        <v>34</v>
      </c>
      <c r="U9" s="88">
        <v>36</v>
      </c>
      <c r="V9" s="90">
        <f t="shared" si="3"/>
        <v>37.5</v>
      </c>
      <c r="W9" s="88">
        <v>39</v>
      </c>
      <c r="X9" s="90">
        <f t="shared" si="4"/>
        <v>41</v>
      </c>
      <c r="Y9" s="88">
        <v>43</v>
      </c>
    </row>
    <row r="10" spans="1:25" ht="20.25" customHeight="1" x14ac:dyDescent="0.25">
      <c r="A10" s="86">
        <v>150</v>
      </c>
      <c r="B10" s="88">
        <v>22</v>
      </c>
      <c r="C10" s="90">
        <f t="shared" si="5"/>
        <v>23.5</v>
      </c>
      <c r="D10" s="88">
        <v>25</v>
      </c>
      <c r="E10" s="90">
        <f t="shared" si="6"/>
        <v>27</v>
      </c>
      <c r="F10" s="88">
        <v>29</v>
      </c>
      <c r="G10" s="90">
        <f t="shared" si="7"/>
        <v>30.5</v>
      </c>
      <c r="H10" s="88">
        <v>32</v>
      </c>
      <c r="I10" s="90">
        <f t="shared" si="8"/>
        <v>33.5</v>
      </c>
      <c r="J10" s="88">
        <v>35</v>
      </c>
      <c r="K10" s="87" t="s">
        <v>33</v>
      </c>
      <c r="L10" s="87" t="s">
        <v>33</v>
      </c>
      <c r="N10" s="86">
        <v>150</v>
      </c>
      <c r="O10" s="88">
        <v>22</v>
      </c>
      <c r="P10" s="90">
        <f t="shared" si="0"/>
        <v>24</v>
      </c>
      <c r="Q10" s="88">
        <v>26</v>
      </c>
      <c r="R10" s="90">
        <f t="shared" si="1"/>
        <v>27</v>
      </c>
      <c r="S10" s="88">
        <v>28</v>
      </c>
      <c r="T10" s="90">
        <f t="shared" si="2"/>
        <v>30</v>
      </c>
      <c r="U10" s="88">
        <v>32</v>
      </c>
      <c r="V10" s="90">
        <f t="shared" si="3"/>
        <v>33.5</v>
      </c>
      <c r="W10" s="88">
        <v>35</v>
      </c>
      <c r="X10" s="90">
        <f t="shared" si="4"/>
        <v>36.5</v>
      </c>
      <c r="Y10" s="88">
        <v>38</v>
      </c>
    </row>
    <row r="11" spans="1:25" ht="20.25" customHeight="1" x14ac:dyDescent="0.25">
      <c r="A11" s="86">
        <v>200</v>
      </c>
      <c r="B11" s="88">
        <v>20</v>
      </c>
      <c r="C11" s="90">
        <f t="shared" si="5"/>
        <v>21.5</v>
      </c>
      <c r="D11" s="88">
        <v>23</v>
      </c>
      <c r="E11" s="90">
        <f t="shared" si="6"/>
        <v>25</v>
      </c>
      <c r="F11" s="88">
        <v>27</v>
      </c>
      <c r="G11" s="90">
        <f t="shared" si="7"/>
        <v>28.5</v>
      </c>
      <c r="H11" s="88">
        <v>30</v>
      </c>
      <c r="I11" s="90">
        <f t="shared" si="8"/>
        <v>31.5</v>
      </c>
      <c r="J11" s="88">
        <v>33</v>
      </c>
      <c r="K11" s="87" t="s">
        <v>33</v>
      </c>
      <c r="L11" s="87" t="s">
        <v>33</v>
      </c>
      <c r="N11" s="86">
        <v>200</v>
      </c>
      <c r="O11" s="88">
        <v>19</v>
      </c>
      <c r="P11" s="90">
        <f t="shared" si="0"/>
        <v>20.5</v>
      </c>
      <c r="Q11" s="88">
        <v>22</v>
      </c>
      <c r="R11" s="90">
        <f t="shared" si="1"/>
        <v>23.5</v>
      </c>
      <c r="S11" s="88">
        <v>25</v>
      </c>
      <c r="T11" s="90">
        <f t="shared" si="2"/>
        <v>26.5</v>
      </c>
      <c r="U11" s="88">
        <v>28</v>
      </c>
      <c r="V11" s="90">
        <f t="shared" si="3"/>
        <v>29.5</v>
      </c>
      <c r="W11" s="88">
        <v>31</v>
      </c>
      <c r="X11" s="90">
        <f t="shared" si="4"/>
        <v>33</v>
      </c>
      <c r="Y11" s="88">
        <v>35</v>
      </c>
    </row>
    <row r="12" spans="1:25" ht="20.25" customHeight="1" x14ac:dyDescent="0.25">
      <c r="A12" s="86">
        <v>250</v>
      </c>
      <c r="B12" s="88">
        <v>19</v>
      </c>
      <c r="C12" s="90">
        <f t="shared" si="5"/>
        <v>20.5</v>
      </c>
      <c r="D12" s="88">
        <v>22</v>
      </c>
      <c r="E12" s="90">
        <f t="shared" si="6"/>
        <v>23.5</v>
      </c>
      <c r="F12" s="88">
        <v>25</v>
      </c>
      <c r="G12" s="90">
        <f t="shared" si="7"/>
        <v>26.5</v>
      </c>
      <c r="H12" s="88">
        <v>28</v>
      </c>
      <c r="I12" s="90">
        <f t="shared" si="8"/>
        <v>29.5</v>
      </c>
      <c r="J12" s="88">
        <v>31</v>
      </c>
      <c r="K12" s="87" t="s">
        <v>33</v>
      </c>
      <c r="L12" s="87" t="s">
        <v>33</v>
      </c>
      <c r="N12" s="86">
        <v>250</v>
      </c>
      <c r="O12" s="88">
        <v>15</v>
      </c>
      <c r="P12" s="90">
        <f t="shared" si="0"/>
        <v>16.5</v>
      </c>
      <c r="Q12" s="88">
        <v>18</v>
      </c>
      <c r="R12" s="90">
        <f t="shared" si="1"/>
        <v>19.5</v>
      </c>
      <c r="S12" s="88">
        <v>21</v>
      </c>
      <c r="T12" s="90">
        <f t="shared" si="2"/>
        <v>22.5</v>
      </c>
      <c r="U12" s="88">
        <v>24</v>
      </c>
      <c r="V12" s="90">
        <f t="shared" si="3"/>
        <v>25.5</v>
      </c>
      <c r="W12" s="88">
        <v>27</v>
      </c>
      <c r="X12" s="90">
        <f t="shared" si="4"/>
        <v>28.5</v>
      </c>
      <c r="Y12" s="88">
        <v>30</v>
      </c>
    </row>
    <row r="13" spans="1:25" ht="20.25" customHeight="1" x14ac:dyDescent="0.25">
      <c r="A13" s="86">
        <v>300</v>
      </c>
      <c r="B13" s="88">
        <v>17</v>
      </c>
      <c r="C13" s="90">
        <f t="shared" si="5"/>
        <v>18</v>
      </c>
      <c r="D13" s="88">
        <v>19</v>
      </c>
      <c r="E13" s="90">
        <f t="shared" si="6"/>
        <v>20.5</v>
      </c>
      <c r="F13" s="88">
        <v>22</v>
      </c>
      <c r="G13" s="90">
        <f t="shared" si="7"/>
        <v>23</v>
      </c>
      <c r="H13" s="88">
        <v>24</v>
      </c>
      <c r="I13" s="90">
        <f t="shared" si="8"/>
        <v>26</v>
      </c>
      <c r="J13" s="88">
        <v>28</v>
      </c>
      <c r="K13" s="87" t="s">
        <v>33</v>
      </c>
      <c r="L13" s="87" t="s">
        <v>33</v>
      </c>
      <c r="N13" s="86">
        <v>300</v>
      </c>
      <c r="O13" s="88">
        <v>13</v>
      </c>
      <c r="P13" s="90">
        <f t="shared" si="0"/>
        <v>14</v>
      </c>
      <c r="Q13" s="88">
        <v>15</v>
      </c>
      <c r="R13" s="90">
        <f t="shared" si="1"/>
        <v>16</v>
      </c>
      <c r="S13" s="88">
        <v>17</v>
      </c>
      <c r="T13" s="90">
        <f t="shared" si="2"/>
        <v>18</v>
      </c>
      <c r="U13" s="88">
        <v>19</v>
      </c>
      <c r="V13" s="90">
        <f t="shared" si="3"/>
        <v>20</v>
      </c>
      <c r="W13" s="88">
        <v>21</v>
      </c>
      <c r="X13" s="90">
        <f t="shared" si="4"/>
        <v>22.5</v>
      </c>
      <c r="Y13" s="88">
        <v>24</v>
      </c>
    </row>
    <row r="14" spans="1:25" ht="20.25" customHeight="1" x14ac:dyDescent="0.25">
      <c r="A14" s="86">
        <v>350</v>
      </c>
      <c r="B14" s="88">
        <v>15</v>
      </c>
      <c r="C14" s="90">
        <f t="shared" si="5"/>
        <v>16</v>
      </c>
      <c r="D14" s="88">
        <v>17</v>
      </c>
      <c r="E14" s="90">
        <f t="shared" si="6"/>
        <v>18</v>
      </c>
      <c r="F14" s="88">
        <v>19</v>
      </c>
      <c r="G14" s="90">
        <f t="shared" si="7"/>
        <v>20.5</v>
      </c>
      <c r="H14" s="88">
        <v>22</v>
      </c>
      <c r="I14" s="90">
        <f t="shared" si="8"/>
        <v>23</v>
      </c>
      <c r="J14" s="88">
        <v>24</v>
      </c>
      <c r="K14" s="87" t="s">
        <v>33</v>
      </c>
      <c r="L14" s="87" t="s">
        <v>33</v>
      </c>
      <c r="N14" s="86">
        <v>350</v>
      </c>
      <c r="O14" s="88">
        <v>12</v>
      </c>
      <c r="P14" s="90">
        <f t="shared" si="0"/>
        <v>12.5</v>
      </c>
      <c r="Q14" s="88">
        <v>13</v>
      </c>
      <c r="R14" s="90">
        <f t="shared" si="1"/>
        <v>14</v>
      </c>
      <c r="S14" s="88">
        <v>15</v>
      </c>
      <c r="T14" s="90">
        <f t="shared" si="2"/>
        <v>15.5</v>
      </c>
      <c r="U14" s="88">
        <v>16</v>
      </c>
      <c r="V14" s="90">
        <f t="shared" si="3"/>
        <v>17</v>
      </c>
      <c r="W14" s="88">
        <v>18</v>
      </c>
      <c r="X14" s="90">
        <f t="shared" si="4"/>
        <v>19.5</v>
      </c>
      <c r="Y14" s="88">
        <v>21</v>
      </c>
    </row>
    <row r="15" spans="1:25" ht="20.25" customHeight="1" x14ac:dyDescent="0.25"/>
    <row r="16" spans="1:25" ht="20.25" customHeight="1" x14ac:dyDescent="0.25"/>
    <row r="17" spans="1:2" ht="20.25" customHeight="1" x14ac:dyDescent="0.25">
      <c r="A17" s="156"/>
      <c r="B17" s="157" t="s">
        <v>86</v>
      </c>
    </row>
    <row r="18" spans="1:2" ht="20.25" customHeight="1" x14ac:dyDescent="0.25">
      <c r="A18" s="91">
        <v>1</v>
      </c>
      <c r="B18" s="130">
        <v>6500</v>
      </c>
    </row>
    <row r="19" spans="1:2" ht="20.25" customHeight="1" x14ac:dyDescent="0.25">
      <c r="A19" s="91">
        <v>2</v>
      </c>
      <c r="B19" s="131">
        <v>7000</v>
      </c>
    </row>
    <row r="20" spans="1:2" ht="20.25" customHeight="1" x14ac:dyDescent="0.25">
      <c r="A20" s="91">
        <v>3</v>
      </c>
      <c r="B20" s="130">
        <v>7500</v>
      </c>
    </row>
    <row r="21" spans="1:2" ht="20.25" customHeight="1" x14ac:dyDescent="0.25">
      <c r="A21" s="91">
        <v>4</v>
      </c>
      <c r="B21" s="131">
        <v>8000</v>
      </c>
    </row>
    <row r="22" spans="1:2" ht="20.25" customHeight="1" x14ac:dyDescent="0.25">
      <c r="A22" s="91">
        <v>5</v>
      </c>
      <c r="B22" s="130">
        <v>8500</v>
      </c>
    </row>
    <row r="23" spans="1:2" ht="20.25" customHeight="1" x14ac:dyDescent="0.25">
      <c r="A23" s="91">
        <v>6</v>
      </c>
      <c r="B23" s="131">
        <v>9000</v>
      </c>
    </row>
    <row r="24" spans="1:2" ht="20.25" customHeight="1" x14ac:dyDescent="0.25">
      <c r="A24" s="91">
        <v>7</v>
      </c>
      <c r="B24" s="130">
        <v>9500</v>
      </c>
    </row>
    <row r="25" spans="1:2" ht="20.25" customHeight="1" x14ac:dyDescent="0.25">
      <c r="A25" s="91">
        <v>8</v>
      </c>
      <c r="B25" s="131">
        <v>10000</v>
      </c>
    </row>
    <row r="26" spans="1:2" ht="20.25" customHeight="1" x14ac:dyDescent="0.25">
      <c r="A26" s="91">
        <v>9</v>
      </c>
      <c r="B26" s="130">
        <v>10500</v>
      </c>
    </row>
    <row r="27" spans="1:2" ht="20.25" customHeight="1" x14ac:dyDescent="0.25">
      <c r="A27" s="91">
        <v>10</v>
      </c>
      <c r="B27" s="132">
        <f>(B26+B28)/2</f>
        <v>11000</v>
      </c>
    </row>
    <row r="28" spans="1:2" ht="20.25" customHeight="1" x14ac:dyDescent="0.25">
      <c r="A28" s="91">
        <v>11</v>
      </c>
      <c r="B28" s="133">
        <v>11500</v>
      </c>
    </row>
    <row r="29" spans="1:2" ht="20.25" customHeight="1" x14ac:dyDescent="0.25"/>
    <row r="30" spans="1:2" ht="20.25" customHeight="1" x14ac:dyDescent="0.25">
      <c r="A30" s="156"/>
      <c r="B30" s="157" t="s">
        <v>73</v>
      </c>
    </row>
    <row r="31" spans="1:2" ht="20.25" customHeight="1" x14ac:dyDescent="0.25">
      <c r="A31" s="91">
        <v>1</v>
      </c>
      <c r="B31" s="126" t="s">
        <v>84</v>
      </c>
    </row>
    <row r="32" spans="1:2" ht="20.25" customHeight="1" x14ac:dyDescent="0.25">
      <c r="A32" s="91">
        <v>2</v>
      </c>
      <c r="B32" s="126" t="s">
        <v>85</v>
      </c>
    </row>
    <row r="33" spans="1:2" ht="20.25" customHeight="1" x14ac:dyDescent="0.25">
      <c r="A33" s="91">
        <v>3</v>
      </c>
      <c r="B33" s="126" t="s">
        <v>81</v>
      </c>
    </row>
    <row r="34" spans="1:2" ht="15" x14ac:dyDescent="0.25">
      <c r="A34" s="91">
        <v>4</v>
      </c>
      <c r="B34" s="126" t="s">
        <v>82</v>
      </c>
    </row>
  </sheetData>
  <sheetProtection password="CF35" sheet="1" objects="1" scenarios="1" selectLockedCells="1"/>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workbookViewId="0">
      <pane xSplit="2" ySplit="5" topLeftCell="C15" activePane="bottomRight" state="frozen"/>
      <selection pane="topRight" activeCell="C1" sqref="C1"/>
      <selection pane="bottomLeft" activeCell="A6" sqref="A6"/>
      <selection pane="bottomRight" activeCell="J25" sqref="J25"/>
    </sheetView>
  </sheetViews>
  <sheetFormatPr baseColWidth="10" defaultRowHeight="15" x14ac:dyDescent="0.25"/>
  <cols>
    <col min="2" max="4" width="11.42578125" customWidth="1"/>
    <col min="5" max="5" width="15.28515625" customWidth="1"/>
    <col min="6" max="9" width="11.42578125" customWidth="1"/>
    <col min="10" max="10" width="13.140625" customWidth="1"/>
    <col min="11" max="11" width="11.42578125" customWidth="1"/>
  </cols>
  <sheetData>
    <row r="1" spans="2:11" ht="20.25" customHeight="1" x14ac:dyDescent="0.25"/>
    <row r="2" spans="2:11" ht="20.25" customHeight="1" x14ac:dyDescent="0.25">
      <c r="B2" s="240" t="s">
        <v>104</v>
      </c>
      <c r="C2" s="241"/>
      <c r="D2" s="241"/>
      <c r="F2" s="240" t="s">
        <v>105</v>
      </c>
      <c r="G2" s="241"/>
      <c r="H2" s="241"/>
      <c r="J2" s="240" t="s">
        <v>114</v>
      </c>
      <c r="K2" s="241"/>
    </row>
    <row r="3" spans="2:11" ht="20.25" customHeight="1" x14ac:dyDescent="0.25">
      <c r="B3" s="228"/>
      <c r="F3" s="228"/>
      <c r="J3" s="228"/>
    </row>
    <row r="4" spans="2:11" ht="30" customHeight="1" x14ac:dyDescent="0.25">
      <c r="B4" s="242" t="s">
        <v>102</v>
      </c>
      <c r="C4" s="242" t="s">
        <v>100</v>
      </c>
      <c r="D4" s="242" t="s">
        <v>101</v>
      </c>
      <c r="F4" s="242" t="s">
        <v>107</v>
      </c>
      <c r="G4" s="242" t="s">
        <v>108</v>
      </c>
      <c r="H4" s="242" t="s">
        <v>106</v>
      </c>
      <c r="J4" s="242" t="s">
        <v>107</v>
      </c>
      <c r="K4" s="242" t="s">
        <v>115</v>
      </c>
    </row>
    <row r="5" spans="2:11" ht="20.25" customHeight="1" x14ac:dyDescent="0.25">
      <c r="B5" s="5">
        <v>550</v>
      </c>
      <c r="C5" s="6">
        <v>33.299999999999997</v>
      </c>
      <c r="D5" s="6">
        <v>410</v>
      </c>
      <c r="E5" s="268" t="s">
        <v>135</v>
      </c>
      <c r="F5" s="247">
        <f>'1. Laktation'!C6</f>
        <v>3.4</v>
      </c>
      <c r="G5" s="247">
        <f>'1. Laktation'!C8</f>
        <v>4</v>
      </c>
      <c r="H5" s="243">
        <f>(0.38*G5+0.21*F5+1.05)</f>
        <v>3.2839999999999998</v>
      </c>
      <c r="J5" s="235">
        <v>3</v>
      </c>
      <c r="K5" s="245">
        <v>77</v>
      </c>
    </row>
    <row r="6" spans="2:11" ht="20.25" customHeight="1" x14ac:dyDescent="0.25">
      <c r="B6" s="234">
        <v>560</v>
      </c>
      <c r="C6" s="235">
        <f>C5+(($C$10-$C$5)/5)</f>
        <v>33.739999999999995</v>
      </c>
      <c r="D6" s="232">
        <f>D5+(($D$10-$D$5)/5)</f>
        <v>414</v>
      </c>
      <c r="E6" s="268" t="s">
        <v>136</v>
      </c>
      <c r="F6" s="247">
        <f>'2.+3. Laktation'!C6:C7</f>
        <v>3.4</v>
      </c>
      <c r="G6" s="247">
        <f>'2.+3. Laktation'!C8</f>
        <v>4</v>
      </c>
      <c r="H6" s="243">
        <f t="shared" ref="H6:H7" si="0">(0.38*G6+0.21*F6+1.05)</f>
        <v>3.2839999999999998</v>
      </c>
      <c r="J6" s="235">
        <v>3.1</v>
      </c>
      <c r="K6" s="245">
        <v>79</v>
      </c>
    </row>
    <row r="7" spans="2:11" ht="20.25" customHeight="1" x14ac:dyDescent="0.25">
      <c r="B7" s="234">
        <v>570</v>
      </c>
      <c r="C7" s="235">
        <f t="shared" ref="C7:C9" si="1">C6+(($C$10-$C$5)/5)</f>
        <v>34.179999999999993</v>
      </c>
      <c r="D7" s="232">
        <f t="shared" ref="D7:D9" si="2">D6+(($D$10-$D$5)/5)</f>
        <v>418</v>
      </c>
      <c r="E7" s="268" t="s">
        <v>137</v>
      </c>
      <c r="F7" s="247">
        <f>'ab 4. Laktation'!C6</f>
        <v>3.4</v>
      </c>
      <c r="G7" s="247">
        <f>'ab 4. Laktation'!C8</f>
        <v>4</v>
      </c>
      <c r="H7" s="243">
        <f t="shared" si="0"/>
        <v>3.2839999999999998</v>
      </c>
      <c r="J7" s="233">
        <v>3.2</v>
      </c>
      <c r="K7" s="244">
        <v>81</v>
      </c>
    </row>
    <row r="8" spans="2:11" ht="20.25" customHeight="1" x14ac:dyDescent="0.25">
      <c r="B8" s="234">
        <v>580</v>
      </c>
      <c r="C8" s="235">
        <f t="shared" si="1"/>
        <v>34.61999999999999</v>
      </c>
      <c r="D8" s="232">
        <f t="shared" si="2"/>
        <v>422</v>
      </c>
      <c r="J8" s="235">
        <v>3.3</v>
      </c>
      <c r="K8" s="245">
        <v>83</v>
      </c>
    </row>
    <row r="9" spans="2:11" ht="30" customHeight="1" x14ac:dyDescent="0.25">
      <c r="B9" s="234">
        <v>590</v>
      </c>
      <c r="C9" s="235">
        <f t="shared" si="1"/>
        <v>35.059999999999988</v>
      </c>
      <c r="D9" s="232">
        <f t="shared" si="2"/>
        <v>426</v>
      </c>
      <c r="F9" s="242" t="s">
        <v>107</v>
      </c>
      <c r="G9" s="242" t="s">
        <v>108</v>
      </c>
      <c r="H9" s="242" t="s">
        <v>106</v>
      </c>
      <c r="J9" s="233">
        <v>3.4</v>
      </c>
      <c r="K9" s="246">
        <v>85</v>
      </c>
    </row>
    <row r="10" spans="2:11" ht="20.25" customHeight="1" x14ac:dyDescent="0.25">
      <c r="B10" s="5">
        <v>600</v>
      </c>
      <c r="C10" s="6">
        <v>35.5</v>
      </c>
      <c r="D10" s="6">
        <v>430</v>
      </c>
      <c r="E10" s="268" t="s">
        <v>153</v>
      </c>
      <c r="F10" s="247">
        <f>'TMR 1. Lakt.'!C6</f>
        <v>3.4</v>
      </c>
      <c r="G10" s="247">
        <f>'TMR 1. Lakt.'!C8</f>
        <v>4</v>
      </c>
      <c r="H10" s="243">
        <f>(0.38*G10+0.21*F10+1.05)</f>
        <v>3.2839999999999998</v>
      </c>
      <c r="J10" s="235">
        <v>3.5</v>
      </c>
      <c r="K10" s="245">
        <v>87</v>
      </c>
    </row>
    <row r="11" spans="2:11" ht="20.25" customHeight="1" x14ac:dyDescent="0.25">
      <c r="B11" s="234">
        <v>610</v>
      </c>
      <c r="C11" s="235">
        <f>C10+(($C$15-$C$10)/5)</f>
        <v>35.94</v>
      </c>
      <c r="D11" s="232">
        <f>D10+(($D$15-$D$10)/5)</f>
        <v>434</v>
      </c>
      <c r="E11" s="268" t="s">
        <v>154</v>
      </c>
      <c r="F11" s="247">
        <f>'TMR 2. Lakt.'!C6</f>
        <v>3.4</v>
      </c>
      <c r="G11" s="247">
        <f>'TMR 2. Lakt.'!C8</f>
        <v>4</v>
      </c>
      <c r="H11" s="243">
        <f t="shared" ref="H11:H12" si="3">(0.38*G11+0.21*F11+1.05)</f>
        <v>3.2839999999999998</v>
      </c>
      <c r="J11" s="233">
        <v>3.6</v>
      </c>
      <c r="K11" s="244">
        <v>89</v>
      </c>
    </row>
    <row r="12" spans="2:11" ht="20.25" customHeight="1" x14ac:dyDescent="0.25">
      <c r="B12" s="234">
        <v>620</v>
      </c>
      <c r="C12" s="235">
        <f t="shared" ref="C12:C14" si="4">C11+(($C$15-$C$10)/5)</f>
        <v>36.379999999999995</v>
      </c>
      <c r="D12" s="232">
        <f t="shared" ref="D12:D14" si="5">D11+(($D$15-$D$10)/5)</f>
        <v>438</v>
      </c>
      <c r="E12" s="268" t="s">
        <v>155</v>
      </c>
      <c r="F12" s="247">
        <f>'TMR ab 4. Lakt.'!C6</f>
        <v>3.4</v>
      </c>
      <c r="G12" s="247">
        <f>'TMR ab 4. Lakt.'!C8</f>
        <v>4</v>
      </c>
      <c r="H12" s="243">
        <f t="shared" si="3"/>
        <v>3.2839999999999998</v>
      </c>
      <c r="J12" s="235">
        <v>3.7</v>
      </c>
      <c r="K12" s="245">
        <v>91</v>
      </c>
    </row>
    <row r="13" spans="2:11" ht="20.25" customHeight="1" x14ac:dyDescent="0.25">
      <c r="B13" s="234">
        <v>630</v>
      </c>
      <c r="C13" s="235">
        <f t="shared" si="4"/>
        <v>36.819999999999993</v>
      </c>
      <c r="D13" s="232">
        <f t="shared" si="5"/>
        <v>442</v>
      </c>
      <c r="F13" t="s">
        <v>109</v>
      </c>
    </row>
    <row r="14" spans="2:11" ht="20.25" customHeight="1" x14ac:dyDescent="0.25">
      <c r="B14" s="234">
        <v>640</v>
      </c>
      <c r="C14" s="235">
        <f t="shared" si="4"/>
        <v>37.259999999999991</v>
      </c>
      <c r="D14" s="232">
        <f t="shared" si="5"/>
        <v>446</v>
      </c>
    </row>
    <row r="15" spans="2:11" ht="20.25" customHeight="1" x14ac:dyDescent="0.25">
      <c r="B15" s="5">
        <v>650</v>
      </c>
      <c r="C15" s="6">
        <v>37.700000000000003</v>
      </c>
      <c r="D15" s="6">
        <v>450</v>
      </c>
      <c r="F15" t="s">
        <v>110</v>
      </c>
    </row>
    <row r="16" spans="2:11" ht="20.25" customHeight="1" x14ac:dyDescent="0.25">
      <c r="B16" s="234">
        <v>660</v>
      </c>
      <c r="C16" s="235">
        <f>C15+(($C$20-$C$15)/5)</f>
        <v>38.14</v>
      </c>
      <c r="D16" s="232">
        <f>D15+(($D$20-$D$15)/5)</f>
        <v>454</v>
      </c>
      <c r="F16" t="s">
        <v>112</v>
      </c>
      <c r="I16" s="230" t="s">
        <v>113</v>
      </c>
    </row>
    <row r="17" spans="1:11" ht="20.25" customHeight="1" x14ac:dyDescent="0.25">
      <c r="B17" s="234">
        <v>670</v>
      </c>
      <c r="C17" s="235">
        <f t="shared" ref="C17:C19" si="6">C16+(($C$20-$C$15)/5)</f>
        <v>38.58</v>
      </c>
      <c r="D17" s="232">
        <f t="shared" ref="D17:D19" si="7">D16+(($D$20-$D$15)/5)</f>
        <v>458</v>
      </c>
      <c r="F17" t="s">
        <v>111</v>
      </c>
    </row>
    <row r="18" spans="1:11" ht="20.25" customHeight="1" x14ac:dyDescent="0.25">
      <c r="B18" s="234">
        <v>680</v>
      </c>
      <c r="C18" s="235">
        <f t="shared" si="6"/>
        <v>39.019999999999996</v>
      </c>
      <c r="D18" s="232">
        <f t="shared" si="7"/>
        <v>462</v>
      </c>
    </row>
    <row r="19" spans="1:11" ht="20.25" customHeight="1" x14ac:dyDescent="0.25">
      <c r="B19" s="234">
        <v>690</v>
      </c>
      <c r="C19" s="235">
        <f t="shared" si="6"/>
        <v>39.459999999999994</v>
      </c>
      <c r="D19" s="232">
        <f t="shared" si="7"/>
        <v>466</v>
      </c>
    </row>
    <row r="20" spans="1:11" ht="20.25" customHeight="1" x14ac:dyDescent="0.25">
      <c r="B20" s="5">
        <v>700</v>
      </c>
      <c r="C20" s="6">
        <v>39.9</v>
      </c>
      <c r="D20" s="6">
        <v>470</v>
      </c>
    </row>
    <row r="21" spans="1:11" ht="20.25" customHeight="1" x14ac:dyDescent="0.25">
      <c r="B21" s="234">
        <v>710</v>
      </c>
      <c r="C21" s="235">
        <f>C20+(($C$25-$C$20)/5)</f>
        <v>40.339999999999996</v>
      </c>
      <c r="D21" s="232">
        <f>D20+(($D$25-$D$20)/5)</f>
        <v>474</v>
      </c>
    </row>
    <row r="22" spans="1:11" ht="20.25" customHeight="1" x14ac:dyDescent="0.25">
      <c r="B22" s="234">
        <v>720</v>
      </c>
      <c r="C22" s="235">
        <f t="shared" ref="C22:C24" si="8">C21+(($C$25-$C$20)/5)</f>
        <v>40.779999999999994</v>
      </c>
      <c r="D22" s="232">
        <f t="shared" ref="D22:D24" si="9">D21+(($D$25-$D$20)/5)</f>
        <v>478</v>
      </c>
    </row>
    <row r="23" spans="1:11" ht="20.25" customHeight="1" x14ac:dyDescent="0.25">
      <c r="B23" s="234">
        <v>730</v>
      </c>
      <c r="C23" s="235">
        <f t="shared" si="8"/>
        <v>41.219999999999992</v>
      </c>
      <c r="D23" s="232">
        <f t="shared" si="9"/>
        <v>482</v>
      </c>
    </row>
    <row r="24" spans="1:11" ht="20.25" customHeight="1" x14ac:dyDescent="0.25">
      <c r="B24" s="234">
        <v>740</v>
      </c>
      <c r="C24" s="235">
        <f t="shared" si="8"/>
        <v>41.659999999999989</v>
      </c>
      <c r="D24" s="232">
        <f t="shared" si="9"/>
        <v>486</v>
      </c>
    </row>
    <row r="25" spans="1:11" s="231" customFormat="1" ht="20.25" customHeight="1" x14ac:dyDescent="0.25">
      <c r="B25" s="234">
        <v>750</v>
      </c>
      <c r="C25" s="232">
        <f>C20+2.2</f>
        <v>42.1</v>
      </c>
      <c r="D25" s="232">
        <f>D20+20</f>
        <v>490</v>
      </c>
    </row>
    <row r="26" spans="1:11" ht="20.25" customHeight="1" x14ac:dyDescent="0.25">
      <c r="B26" t="s">
        <v>99</v>
      </c>
    </row>
    <row r="27" spans="1:11" ht="20.25" customHeight="1" x14ac:dyDescent="0.25"/>
    <row r="28" spans="1:11" ht="30" customHeight="1" x14ac:dyDescent="0.25">
      <c r="A28" s="229" t="s">
        <v>132</v>
      </c>
      <c r="B28" s="236" t="s">
        <v>103</v>
      </c>
      <c r="C28" s="238">
        <f>LOOKUP('1. Laktation'!$C$10,Bedarf!$B$4:$C$25)</f>
        <v>35.059999999999988</v>
      </c>
      <c r="D28" s="239">
        <f>LOOKUP('1. Laktation'!$C$10,Bedarf!$B$5:$B$25,$D$5:$D$25)</f>
        <v>426</v>
      </c>
      <c r="F28" s="512" t="s">
        <v>116</v>
      </c>
      <c r="G28" s="513"/>
      <c r="H28" s="237">
        <f>H5</f>
        <v>3.2839999999999998</v>
      </c>
      <c r="J28" s="248" t="s">
        <v>117</v>
      </c>
      <c r="K28" s="249">
        <f>LOOKUP('1. Laktation'!C6,Bedarf!$J$5:$K$12)</f>
        <v>85</v>
      </c>
    </row>
    <row r="29" spans="1:11" ht="30" customHeight="1" x14ac:dyDescent="0.25">
      <c r="A29" s="229" t="s">
        <v>133</v>
      </c>
      <c r="B29" s="236" t="s">
        <v>103</v>
      </c>
      <c r="C29" s="238">
        <f>LOOKUP('2.+3. Laktation'!C10,Bedarf!$B$4:$C$25)</f>
        <v>39.9</v>
      </c>
      <c r="D29" s="239">
        <f>LOOKUP('2.+3. Laktation'!C10,Bedarf!$B$5:$B$25,$D$5:$D$25)</f>
        <v>470</v>
      </c>
      <c r="F29" s="512" t="s">
        <v>116</v>
      </c>
      <c r="G29" s="513"/>
      <c r="H29" s="237">
        <f t="shared" ref="H29:H30" si="10">H6</f>
        <v>3.2839999999999998</v>
      </c>
      <c r="J29" s="248" t="s">
        <v>117</v>
      </c>
      <c r="K29" s="249">
        <f>LOOKUP('2.+3. Laktation'!C6,Bedarf!$J$5:$K$12)</f>
        <v>85</v>
      </c>
    </row>
    <row r="30" spans="1:11" ht="30" customHeight="1" x14ac:dyDescent="0.25">
      <c r="A30" s="229" t="s">
        <v>134</v>
      </c>
      <c r="B30" s="236" t="s">
        <v>103</v>
      </c>
      <c r="C30" s="238">
        <f>LOOKUP('ab 4. Laktation'!C10,Bedarf!$B$4:$C$25)</f>
        <v>37.700000000000003</v>
      </c>
      <c r="D30" s="239">
        <f>LOOKUP('ab 4. Laktation'!C10,Bedarf!$B$5:$B$25,$D$5:$D$25)</f>
        <v>450</v>
      </c>
      <c r="F30" s="512" t="s">
        <v>116</v>
      </c>
      <c r="G30" s="513"/>
      <c r="H30" s="237">
        <f t="shared" si="10"/>
        <v>3.2839999999999998</v>
      </c>
      <c r="J30" s="248" t="s">
        <v>117</v>
      </c>
      <c r="K30" s="249">
        <f>LOOKUP('ab 4. Laktation'!C6,Bedarf!$J$5:$K$12)</f>
        <v>85</v>
      </c>
    </row>
    <row r="31" spans="1:11" ht="20.25" customHeight="1" x14ac:dyDescent="0.25"/>
    <row r="32" spans="1:11" ht="30" customHeight="1" x14ac:dyDescent="0.25">
      <c r="A32" s="229" t="s">
        <v>150</v>
      </c>
      <c r="B32" s="236" t="s">
        <v>103</v>
      </c>
      <c r="C32" s="238">
        <f>LOOKUP('TMR 1. Lakt.'!$C$10,Bedarf!$B$4:$C$25)</f>
        <v>35.94</v>
      </c>
      <c r="D32" s="239">
        <f>LOOKUP('TMR 1. Lakt.'!$C$10,Bedarf!$B$5:$B$25,$D$5:$D$25)</f>
        <v>434</v>
      </c>
      <c r="F32" s="512" t="s">
        <v>116</v>
      </c>
      <c r="G32" s="513"/>
      <c r="H32" s="237">
        <f>H10</f>
        <v>3.2839999999999998</v>
      </c>
      <c r="J32" s="248" t="s">
        <v>117</v>
      </c>
      <c r="K32" s="291">
        <f>LOOKUP('TMR 1. Lakt.'!$C$6,Bedarf!$J$5:$K$12)</f>
        <v>85</v>
      </c>
    </row>
    <row r="33" spans="1:11" ht="30" customHeight="1" x14ac:dyDescent="0.25">
      <c r="A33" s="229" t="s">
        <v>151</v>
      </c>
      <c r="B33" s="236" t="s">
        <v>103</v>
      </c>
      <c r="C33" s="238">
        <f>LOOKUP('TMR 2. Lakt.'!$C$10,Bedarf!$B$4:$C$25)</f>
        <v>39.9</v>
      </c>
      <c r="D33" s="239">
        <f>LOOKUP('TMR 2. Lakt.'!$C$10,Bedarf!$B$5:$B$25,$D$5:$D$25)</f>
        <v>470</v>
      </c>
      <c r="F33" s="512" t="s">
        <v>116</v>
      </c>
      <c r="G33" s="513"/>
      <c r="H33" s="237">
        <f t="shared" ref="H33:H34" si="11">H11</f>
        <v>3.2839999999999998</v>
      </c>
      <c r="J33" s="248" t="s">
        <v>117</v>
      </c>
      <c r="K33" s="291">
        <f>LOOKUP('TMR 2. Lakt.'!$C$6,Bedarf!$J$5:$K$12)</f>
        <v>85</v>
      </c>
    </row>
    <row r="34" spans="1:11" ht="30" customHeight="1" x14ac:dyDescent="0.25">
      <c r="A34" s="229" t="s">
        <v>152</v>
      </c>
      <c r="B34" s="236" t="s">
        <v>103</v>
      </c>
      <c r="C34" s="238">
        <f>LOOKUP('TMR ab 4. Lakt.'!$C$10,Bedarf!$B$4:$C$25)</f>
        <v>42.1</v>
      </c>
      <c r="D34" s="239">
        <f>LOOKUP('TMR ab 4. Lakt.'!$C$10,Bedarf!$B$5:$B$25,$D$5:$D$25)</f>
        <v>490</v>
      </c>
      <c r="F34" s="512" t="s">
        <v>116</v>
      </c>
      <c r="G34" s="513"/>
      <c r="H34" s="237">
        <f t="shared" si="11"/>
        <v>3.2839999999999998</v>
      </c>
      <c r="J34" s="248" t="s">
        <v>117</v>
      </c>
      <c r="K34" s="291">
        <f>LOOKUP('TMR ab 4. Lakt.'!$C$6,Bedarf!$J$5:$K$12)</f>
        <v>85</v>
      </c>
    </row>
    <row r="35" spans="1:11" ht="20.25" customHeight="1" x14ac:dyDescent="0.25"/>
    <row r="36" spans="1:11" ht="20.25" customHeight="1" x14ac:dyDescent="0.25"/>
    <row r="37" spans="1:11" ht="20.25" customHeight="1" x14ac:dyDescent="0.25"/>
    <row r="38" spans="1:11" ht="20.25" customHeight="1" x14ac:dyDescent="0.25"/>
    <row r="39" spans="1:11" ht="20.25" customHeight="1" x14ac:dyDescent="0.25"/>
    <row r="40" spans="1:11" ht="20.25" customHeight="1" x14ac:dyDescent="0.25"/>
    <row r="41" spans="1:11" ht="20.25" customHeight="1" x14ac:dyDescent="0.25"/>
    <row r="42" spans="1:11" ht="20.25" customHeight="1" x14ac:dyDescent="0.25"/>
    <row r="43" spans="1:11" ht="20.25" customHeight="1" x14ac:dyDescent="0.25"/>
    <row r="44" spans="1:11" ht="20.25" customHeight="1" x14ac:dyDescent="0.25"/>
    <row r="45" spans="1:11" ht="20.25" customHeight="1" x14ac:dyDescent="0.25"/>
    <row r="46" spans="1:11" ht="20.25" customHeight="1" x14ac:dyDescent="0.25"/>
    <row r="47" spans="1:11" ht="20.25" customHeight="1" x14ac:dyDescent="0.25"/>
    <row r="48" spans="1:11" ht="20.25" customHeight="1" x14ac:dyDescent="0.25"/>
  </sheetData>
  <sheetProtection password="CF35" sheet="1" objects="1" scenarios="1" selectLockedCells="1"/>
  <mergeCells count="6">
    <mergeCell ref="F34:G34"/>
    <mergeCell ref="F28:G28"/>
    <mergeCell ref="F29:G29"/>
    <mergeCell ref="F30:G30"/>
    <mergeCell ref="F32:G32"/>
    <mergeCell ref="F33:G33"/>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tabSelected="1" topLeftCell="B1" workbookViewId="0">
      <selection activeCell="D14" sqref="D14:E14"/>
    </sheetView>
  </sheetViews>
  <sheetFormatPr baseColWidth="10" defaultRowHeight="14.25" x14ac:dyDescent="0.25"/>
  <cols>
    <col min="1" max="1" width="2.7109375" style="381" customWidth="1"/>
    <col min="2" max="2" width="8.28515625" style="381" customWidth="1"/>
    <col min="3" max="5" width="24.7109375" style="381" customWidth="1"/>
    <col min="6" max="6" width="2.7109375" style="381" customWidth="1"/>
    <col min="7" max="9" width="24.7109375" style="381" customWidth="1"/>
    <col min="10" max="10" width="2.7109375" style="381" customWidth="1"/>
    <col min="11" max="13" width="13.28515625" style="381" customWidth="1"/>
    <col min="14" max="14" width="2.7109375" style="381" customWidth="1"/>
    <col min="15" max="16" width="12" style="381" customWidth="1"/>
    <col min="17" max="19" width="11.42578125" style="381" customWidth="1"/>
    <col min="20" max="16384" width="11.42578125" style="381"/>
  </cols>
  <sheetData>
    <row r="1" spans="2:9" ht="48" customHeight="1" x14ac:dyDescent="0.25"/>
    <row r="2" spans="2:9" ht="57" customHeight="1" x14ac:dyDescent="0.25">
      <c r="C2" s="382" t="s">
        <v>232</v>
      </c>
    </row>
    <row r="3" spans="2:9" ht="15" customHeight="1" x14ac:dyDescent="0.25">
      <c r="C3" s="382"/>
      <c r="D3" s="381" t="s">
        <v>230</v>
      </c>
      <c r="E3" s="381" t="s">
        <v>231</v>
      </c>
    </row>
    <row r="4" spans="2:9" ht="30" hidden="1" customHeight="1" x14ac:dyDescent="0.25">
      <c r="C4" s="527" t="s">
        <v>213</v>
      </c>
      <c r="D4" s="527"/>
      <c r="E4" s="383">
        <v>0.06</v>
      </c>
      <c r="G4" s="528" t="s">
        <v>211</v>
      </c>
      <c r="H4" s="528"/>
      <c r="I4" s="528"/>
    </row>
    <row r="5" spans="2:9" ht="30" customHeight="1" x14ac:dyDescent="0.25">
      <c r="C5" s="384"/>
      <c r="D5" s="384" t="s">
        <v>193</v>
      </c>
      <c r="E5" s="385" t="s">
        <v>194</v>
      </c>
      <c r="G5" s="528"/>
      <c r="H5" s="528"/>
      <c r="I5" s="528"/>
    </row>
    <row r="6" spans="2:9" ht="30" customHeight="1" x14ac:dyDescent="0.25">
      <c r="C6" s="386" t="s">
        <v>191</v>
      </c>
      <c r="D6" s="416">
        <v>6</v>
      </c>
      <c r="E6" s="417">
        <v>6.5</v>
      </c>
      <c r="G6" s="522">
        <f>D23*365</f>
        <v>77838.653658536452</v>
      </c>
      <c r="H6" s="522"/>
      <c r="I6" s="522"/>
    </row>
    <row r="7" spans="2:9" ht="30" hidden="1" customHeight="1" x14ac:dyDescent="0.25">
      <c r="B7" s="381" t="s">
        <v>219</v>
      </c>
      <c r="C7" s="387" t="s">
        <v>215</v>
      </c>
      <c r="D7" s="418">
        <v>15</v>
      </c>
      <c r="E7" s="419">
        <v>17</v>
      </c>
      <c r="G7" s="522"/>
      <c r="H7" s="522"/>
      <c r="I7" s="522"/>
    </row>
    <row r="8" spans="2:9" ht="30" customHeight="1" x14ac:dyDescent="0.25">
      <c r="C8" s="388" t="s">
        <v>217</v>
      </c>
      <c r="D8" s="420">
        <v>13</v>
      </c>
      <c r="E8" s="421">
        <v>14</v>
      </c>
      <c r="G8" s="522"/>
      <c r="H8" s="522"/>
      <c r="I8" s="522"/>
    </row>
    <row r="9" spans="2:9" ht="30" hidden="1" customHeight="1" x14ac:dyDescent="0.25">
      <c r="C9" s="351" t="s">
        <v>197</v>
      </c>
      <c r="D9" s="389">
        <f>D6*D$8</f>
        <v>78</v>
      </c>
      <c r="E9" s="389">
        <f>E6*E$8</f>
        <v>91</v>
      </c>
      <c r="G9" s="522"/>
      <c r="H9" s="522"/>
      <c r="I9" s="522"/>
    </row>
    <row r="10" spans="2:9" ht="30" hidden="1" customHeight="1" x14ac:dyDescent="0.25">
      <c r="B10" s="381" t="s">
        <v>219</v>
      </c>
      <c r="C10" s="390" t="s">
        <v>216</v>
      </c>
      <c r="D10" s="391">
        <f>D7*D8*10</f>
        <v>1950</v>
      </c>
      <c r="E10" s="391">
        <f>E7*E8*10</f>
        <v>2380</v>
      </c>
      <c r="G10" s="522"/>
      <c r="H10" s="522"/>
      <c r="I10" s="522"/>
    </row>
    <row r="11" spans="2:9" ht="30" customHeight="1" x14ac:dyDescent="0.25">
      <c r="B11" s="422">
        <v>40</v>
      </c>
      <c r="C11" s="351" t="s">
        <v>214</v>
      </c>
      <c r="D11" s="392">
        <f>D8/(100-$B$11)*$B$11</f>
        <v>8.6666666666666679</v>
      </c>
      <c r="E11" s="392">
        <f>E8/(100-$B$11)*$B$11</f>
        <v>9.3333333333333339</v>
      </c>
      <c r="G11" s="522"/>
      <c r="H11" s="522"/>
      <c r="I11" s="522"/>
    </row>
    <row r="12" spans="2:9" ht="30" customHeight="1" x14ac:dyDescent="0.25">
      <c r="C12" s="351" t="s">
        <v>192</v>
      </c>
      <c r="D12" s="393">
        <f>D8+D11</f>
        <v>21.666666666666668</v>
      </c>
      <c r="E12" s="394">
        <f>E8+E11</f>
        <v>23.333333333333336</v>
      </c>
      <c r="G12" s="522"/>
      <c r="H12" s="522"/>
      <c r="I12" s="522"/>
    </row>
    <row r="13" spans="2:9" ht="30" customHeight="1" x14ac:dyDescent="0.25">
      <c r="C13" s="351" t="s">
        <v>197</v>
      </c>
      <c r="D13" s="395">
        <f>D8*D6+D11*$H$21</f>
        <v>138.66666666666669</v>
      </c>
      <c r="E13" s="395">
        <f>E8*E6+E11*$H$21</f>
        <v>156.33333333333334</v>
      </c>
      <c r="G13" s="522"/>
      <c r="H13" s="522"/>
      <c r="I13" s="522"/>
    </row>
    <row r="14" spans="2:9" ht="30" customHeight="1" x14ac:dyDescent="0.25">
      <c r="C14" s="351" t="s">
        <v>198</v>
      </c>
      <c r="D14" s="519">
        <v>42</v>
      </c>
      <c r="E14" s="520"/>
      <c r="G14" s="522"/>
      <c r="H14" s="522"/>
      <c r="I14" s="522"/>
    </row>
    <row r="15" spans="2:9" ht="30" customHeight="1" x14ac:dyDescent="0.25">
      <c r="C15" s="351" t="s">
        <v>199</v>
      </c>
      <c r="D15" s="521">
        <v>3.28</v>
      </c>
      <c r="E15" s="521"/>
      <c r="G15" s="522"/>
      <c r="H15" s="522"/>
      <c r="I15" s="522"/>
    </row>
    <row r="16" spans="2:9" ht="30" customHeight="1" x14ac:dyDescent="0.25">
      <c r="C16" s="351" t="s">
        <v>200</v>
      </c>
      <c r="D16" s="396">
        <f>(D13-$D$14)/$D$15</f>
        <v>29.471544715447163</v>
      </c>
      <c r="E16" s="397">
        <f>(E13-$D$14)/$D$15</f>
        <v>34.857723577235774</v>
      </c>
      <c r="G16" s="515" t="s">
        <v>202</v>
      </c>
      <c r="H16" s="516"/>
      <c r="I16" s="423">
        <v>120</v>
      </c>
    </row>
    <row r="17" spans="3:19" ht="20.25" customHeight="1" x14ac:dyDescent="0.25">
      <c r="C17" s="398" t="s">
        <v>212</v>
      </c>
      <c r="D17" s="399">
        <f>D11*1000/D16</f>
        <v>294.06896551724134</v>
      </c>
      <c r="E17" s="399">
        <f>E11*1000/E16</f>
        <v>267.75510204081633</v>
      </c>
      <c r="K17" s="400"/>
      <c r="L17" s="400" t="s">
        <v>69</v>
      </c>
      <c r="M17" s="400" t="s">
        <v>233</v>
      </c>
      <c r="O17" s="401"/>
      <c r="P17" s="427" t="s">
        <v>238</v>
      </c>
      <c r="Q17" s="427" t="s">
        <v>239</v>
      </c>
      <c r="R17" s="427" t="s">
        <v>240</v>
      </c>
      <c r="S17" s="427" t="s">
        <v>241</v>
      </c>
    </row>
    <row r="18" spans="3:19" ht="30" customHeight="1" x14ac:dyDescent="0.25">
      <c r="C18" s="351" t="s">
        <v>183</v>
      </c>
      <c r="D18" s="352">
        <f>D16*H18/100</f>
        <v>11.788617886178866</v>
      </c>
      <c r="E18" s="352">
        <f>E16*I18/100</f>
        <v>13.943089430894311</v>
      </c>
      <c r="G18" s="351" t="s">
        <v>196</v>
      </c>
      <c r="H18" s="416">
        <v>40</v>
      </c>
      <c r="I18" s="416">
        <v>40</v>
      </c>
      <c r="K18" s="402" t="s">
        <v>234</v>
      </c>
      <c r="L18" s="426">
        <v>7</v>
      </c>
      <c r="M18" s="426">
        <v>4.5</v>
      </c>
      <c r="O18" s="402" t="s">
        <v>234</v>
      </c>
      <c r="P18" s="426">
        <v>22</v>
      </c>
      <c r="Q18" s="426">
        <v>40</v>
      </c>
      <c r="R18" s="426">
        <v>30</v>
      </c>
      <c r="S18" s="426">
        <v>30</v>
      </c>
    </row>
    <row r="19" spans="3:19" ht="30" customHeight="1" x14ac:dyDescent="0.25">
      <c r="C19" s="353" t="s">
        <v>208</v>
      </c>
      <c r="D19" s="403">
        <f>D8*H19/100</f>
        <v>2.34</v>
      </c>
      <c r="E19" s="403">
        <f>E8*I19/100</f>
        <v>2.52</v>
      </c>
      <c r="F19" s="274" t="s">
        <v>227</v>
      </c>
      <c r="G19" s="353" t="s">
        <v>195</v>
      </c>
      <c r="H19" s="424">
        <v>18</v>
      </c>
      <c r="I19" s="424">
        <v>18</v>
      </c>
      <c r="K19" s="400" t="s">
        <v>235</v>
      </c>
      <c r="L19" s="422">
        <v>35</v>
      </c>
      <c r="M19" s="422">
        <v>32</v>
      </c>
      <c r="O19" s="400" t="s">
        <v>235</v>
      </c>
      <c r="P19" s="422">
        <v>88</v>
      </c>
      <c r="Q19" s="422">
        <v>88</v>
      </c>
      <c r="R19" s="422">
        <v>88</v>
      </c>
      <c r="S19" s="422">
        <v>88</v>
      </c>
    </row>
    <row r="20" spans="3:19" ht="30" x14ac:dyDescent="0.25">
      <c r="C20" s="404" t="s">
        <v>209</v>
      </c>
      <c r="D20" s="405">
        <f>D11*H20/100</f>
        <v>2.5653333333333337</v>
      </c>
      <c r="E20" s="405">
        <f>E11*I20/100</f>
        <v>2.762666666666667</v>
      </c>
      <c r="F20" s="274" t="s">
        <v>227</v>
      </c>
      <c r="G20" s="351" t="s">
        <v>218</v>
      </c>
      <c r="H20" s="425">
        <v>29.6</v>
      </c>
      <c r="I20" s="425">
        <v>29.6</v>
      </c>
      <c r="K20" s="402" t="s">
        <v>236</v>
      </c>
      <c r="L20" s="364">
        <f>L18*100/L19</f>
        <v>20</v>
      </c>
      <c r="M20" s="364">
        <f>M18*100/M19</f>
        <v>14.0625</v>
      </c>
      <c r="O20" s="402" t="s">
        <v>236</v>
      </c>
      <c r="P20" s="364">
        <f>P18*100/P19</f>
        <v>25</v>
      </c>
      <c r="Q20" s="364">
        <f t="shared" ref="Q20:S20" si="0">Q18*100/Q19</f>
        <v>45.454545454545453</v>
      </c>
      <c r="R20" s="364">
        <f t="shared" si="0"/>
        <v>34.090909090909093</v>
      </c>
      <c r="S20" s="364">
        <f t="shared" si="0"/>
        <v>34.090909090909093</v>
      </c>
    </row>
    <row r="21" spans="3:19" ht="30" customHeight="1" x14ac:dyDescent="0.25">
      <c r="C21" s="351" t="s">
        <v>184</v>
      </c>
      <c r="D21" s="428">
        <f>SUM(D19:D20)</f>
        <v>4.9053333333333331</v>
      </c>
      <c r="E21" s="428">
        <f>SUM(E19:E20)</f>
        <v>5.2826666666666675</v>
      </c>
      <c r="G21" s="351" t="s">
        <v>201</v>
      </c>
      <c r="H21" s="416">
        <v>7</v>
      </c>
      <c r="I21" s="416">
        <v>7</v>
      </c>
      <c r="K21" s="402" t="s">
        <v>244</v>
      </c>
      <c r="L21" s="420">
        <v>9</v>
      </c>
      <c r="M21" s="420">
        <v>5</v>
      </c>
      <c r="O21" s="402" t="s">
        <v>245</v>
      </c>
      <c r="P21" s="420">
        <v>3</v>
      </c>
      <c r="Q21" s="420">
        <v>2</v>
      </c>
      <c r="R21" s="420">
        <v>2</v>
      </c>
      <c r="S21" s="420">
        <v>2</v>
      </c>
    </row>
    <row r="22" spans="3:19" ht="29.25" customHeight="1" x14ac:dyDescent="0.25">
      <c r="C22" s="351" t="s">
        <v>210</v>
      </c>
      <c r="D22" s="352">
        <f>D18-D21</f>
        <v>6.8832845528455326</v>
      </c>
      <c r="E22" s="352">
        <f>E18-E21</f>
        <v>8.6604227642276435</v>
      </c>
      <c r="G22" s="517" t="s">
        <v>242</v>
      </c>
      <c r="H22" s="517"/>
      <c r="I22" s="517"/>
      <c r="K22" s="526" t="s">
        <v>237</v>
      </c>
      <c r="L22" s="525">
        <f>(L21*L20+M20*M21)/(L21+M21)</f>
        <v>17.879464285714285</v>
      </c>
      <c r="M22" s="525"/>
      <c r="O22" s="526" t="s">
        <v>243</v>
      </c>
      <c r="P22" s="525">
        <f>SUMPRODUCT(P18:S18,P21:S21)/(SUM(P21:S21))</f>
        <v>29.555555555555557</v>
      </c>
      <c r="Q22" s="525"/>
      <c r="R22" s="525"/>
      <c r="S22" s="525"/>
    </row>
    <row r="23" spans="3:19" ht="30" customHeight="1" x14ac:dyDescent="0.25">
      <c r="C23" s="406" t="s">
        <v>228</v>
      </c>
      <c r="D23" s="523">
        <f>(E22-D22)*I16</f>
        <v>213.25658536585331</v>
      </c>
      <c r="E23" s="524"/>
      <c r="G23" s="518"/>
      <c r="H23" s="518"/>
      <c r="I23" s="518"/>
      <c r="K23" s="526"/>
      <c r="L23" s="525"/>
      <c r="M23" s="525"/>
      <c r="O23" s="526"/>
      <c r="P23" s="525"/>
      <c r="Q23" s="525"/>
      <c r="R23" s="525"/>
      <c r="S23" s="525"/>
    </row>
    <row r="29" spans="3:19" ht="30" hidden="1" customHeight="1" x14ac:dyDescent="0.25">
      <c r="C29" s="514" t="s">
        <v>223</v>
      </c>
      <c r="D29" s="514"/>
      <c r="E29" s="514"/>
    </row>
    <row r="30" spans="3:19" ht="30" hidden="1" customHeight="1" x14ac:dyDescent="0.25">
      <c r="C30" s="407" t="s">
        <v>220</v>
      </c>
      <c r="D30" s="408">
        <v>1600</v>
      </c>
      <c r="E30" s="408">
        <v>2000</v>
      </c>
    </row>
    <row r="31" spans="3:19" ht="30" hidden="1" customHeight="1" x14ac:dyDescent="0.25">
      <c r="C31" s="407" t="s">
        <v>222</v>
      </c>
      <c r="D31" s="341">
        <v>80</v>
      </c>
      <c r="E31" s="341">
        <v>100</v>
      </c>
      <c r="G31" s="409" t="s">
        <v>229</v>
      </c>
    </row>
    <row r="32" spans="3:19" ht="30" hidden="1" customHeight="1" x14ac:dyDescent="0.25">
      <c r="C32" s="410" t="s">
        <v>221</v>
      </c>
      <c r="D32" s="411">
        <f>D30/D31</f>
        <v>20</v>
      </c>
      <c r="E32" s="412">
        <f>E30/E31</f>
        <v>20</v>
      </c>
    </row>
    <row r="33" spans="3:5" ht="30" hidden="1" customHeight="1" x14ac:dyDescent="0.25">
      <c r="C33" s="406" t="s">
        <v>224</v>
      </c>
      <c r="D33" s="413">
        <f>D6*D31*100</f>
        <v>48000</v>
      </c>
      <c r="E33" s="413">
        <f>E6*E31*100</f>
        <v>65000</v>
      </c>
    </row>
    <row r="34" spans="3:5" ht="30" hidden="1" customHeight="1" x14ac:dyDescent="0.25">
      <c r="C34" s="353" t="s">
        <v>226</v>
      </c>
      <c r="D34" s="414">
        <f>D30/D33*10*100</f>
        <v>33.333333333333329</v>
      </c>
      <c r="E34" s="414">
        <f>E30/E33*10*100</f>
        <v>30.76923076923077</v>
      </c>
    </row>
    <row r="35" spans="3:5" ht="30" hidden="1" customHeight="1" x14ac:dyDescent="0.25">
      <c r="C35" s="407" t="s">
        <v>215</v>
      </c>
      <c r="D35" s="415">
        <f>D31*100*D7/100</f>
        <v>1200</v>
      </c>
      <c r="E35" s="415">
        <f>E31*100*E7/100</f>
        <v>1700</v>
      </c>
    </row>
    <row r="36" spans="3:5" ht="30" hidden="1" customHeight="1" x14ac:dyDescent="0.25">
      <c r="C36" s="353" t="s">
        <v>225</v>
      </c>
      <c r="D36" s="414">
        <f>D32/D35*10*100</f>
        <v>16.666666666666664</v>
      </c>
      <c r="E36" s="414">
        <f>E32/E35*10*100</f>
        <v>11.76470588235294</v>
      </c>
    </row>
  </sheetData>
  <sheetProtection password="CF35" sheet="1" objects="1" scenarios="1" selectLockedCells="1"/>
  <mergeCells count="13">
    <mergeCell ref="L22:M23"/>
    <mergeCell ref="K22:K23"/>
    <mergeCell ref="O22:O23"/>
    <mergeCell ref="P22:S23"/>
    <mergeCell ref="C4:D4"/>
    <mergeCell ref="G4:I5"/>
    <mergeCell ref="C29:E29"/>
    <mergeCell ref="G16:H16"/>
    <mergeCell ref="G22:I23"/>
    <mergeCell ref="D14:E14"/>
    <mergeCell ref="D15:E15"/>
    <mergeCell ref="G6:I15"/>
    <mergeCell ref="D23:E23"/>
  </mergeCells>
  <pageMargins left="0.70866141732283472" right="0.70866141732283472" top="0.78740157480314965" bottom="0.78740157480314965" header="0.31496062992125984" footer="0.31496062992125984"/>
  <pageSetup paperSize="9" scale="77" orientation="landscape"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E35" sqref="E35"/>
    </sheetView>
  </sheetViews>
  <sheetFormatPr baseColWidth="10" defaultRowHeight="15" x14ac:dyDescent="0.25"/>
  <cols>
    <col min="1" max="1" width="18.5703125" customWidth="1"/>
    <col min="2" max="2" width="11.7109375" bestFit="1" customWidth="1"/>
    <col min="3" max="3" width="11.5703125" bestFit="1" customWidth="1"/>
  </cols>
  <sheetData>
    <row r="1" spans="1:3" ht="38.25" x14ac:dyDescent="0.25">
      <c r="A1" s="377" t="s">
        <v>203</v>
      </c>
      <c r="B1" s="529" t="s">
        <v>204</v>
      </c>
      <c r="C1" s="529"/>
    </row>
    <row r="2" spans="1:3" ht="25.5" x14ac:dyDescent="0.25">
      <c r="A2" s="377" t="s">
        <v>205</v>
      </c>
      <c r="B2" s="377" t="s">
        <v>206</v>
      </c>
      <c r="C2" s="377" t="s">
        <v>207</v>
      </c>
    </row>
    <row r="3" spans="1:3" x14ac:dyDescent="0.25">
      <c r="A3" s="378">
        <v>500</v>
      </c>
      <c r="B3" s="379">
        <v>31</v>
      </c>
      <c r="C3" s="380">
        <v>390</v>
      </c>
    </row>
    <row r="4" spans="1:3" x14ac:dyDescent="0.25">
      <c r="A4" s="378">
        <v>550</v>
      </c>
      <c r="B4" s="379">
        <v>33.299999999999997</v>
      </c>
      <c r="C4" s="380">
        <v>410</v>
      </c>
    </row>
    <row r="5" spans="1:3" x14ac:dyDescent="0.25">
      <c r="A5" s="378">
        <v>600</v>
      </c>
      <c r="B5" s="379">
        <v>35.5</v>
      </c>
      <c r="C5" s="380">
        <v>430</v>
      </c>
    </row>
    <row r="6" spans="1:3" x14ac:dyDescent="0.25">
      <c r="A6" s="378">
        <v>650</v>
      </c>
      <c r="B6" s="379">
        <v>37.700000000000003</v>
      </c>
      <c r="C6" s="380">
        <v>450</v>
      </c>
    </row>
    <row r="7" spans="1:3" x14ac:dyDescent="0.25">
      <c r="A7" s="378">
        <v>700</v>
      </c>
      <c r="B7" s="379">
        <v>39.9</v>
      </c>
      <c r="C7" s="380">
        <v>470</v>
      </c>
    </row>
    <row r="8" spans="1:3" x14ac:dyDescent="0.25">
      <c r="A8" s="378">
        <v>750</v>
      </c>
      <c r="B8" s="379">
        <v>42</v>
      </c>
      <c r="C8" s="380">
        <v>490</v>
      </c>
    </row>
    <row r="9" spans="1:3" x14ac:dyDescent="0.25">
      <c r="A9" s="378">
        <v>800</v>
      </c>
      <c r="B9" s="379">
        <v>44.1</v>
      </c>
      <c r="C9" s="380">
        <v>510</v>
      </c>
    </row>
    <row r="10" spans="1:3" x14ac:dyDescent="0.25">
      <c r="A10" s="378">
        <v>850</v>
      </c>
      <c r="B10" s="379">
        <f>B9+(B9-B8)</f>
        <v>46.2</v>
      </c>
      <c r="C10" s="380">
        <f>C9+(C9-C8)</f>
        <v>530</v>
      </c>
    </row>
    <row r="11" spans="1:3" x14ac:dyDescent="0.25">
      <c r="A11" s="378">
        <v>900</v>
      </c>
      <c r="B11" s="379">
        <f t="shared" ref="B11:C11" si="0">B10+(B10-B9)</f>
        <v>48.300000000000004</v>
      </c>
      <c r="C11" s="380">
        <f t="shared" si="0"/>
        <v>550</v>
      </c>
    </row>
    <row r="12" spans="1:3" x14ac:dyDescent="0.25">
      <c r="A12" s="378">
        <v>950</v>
      </c>
      <c r="B12" s="379">
        <f t="shared" ref="B12:C13" si="1">B10+(B10-B9)</f>
        <v>48.300000000000004</v>
      </c>
      <c r="C12" s="380">
        <f t="shared" si="1"/>
        <v>550</v>
      </c>
    </row>
    <row r="13" spans="1:3" x14ac:dyDescent="0.25">
      <c r="A13" s="378">
        <v>1000</v>
      </c>
      <c r="B13" s="379">
        <f t="shared" si="1"/>
        <v>50.400000000000006</v>
      </c>
      <c r="C13" s="380">
        <f t="shared" si="1"/>
        <v>570</v>
      </c>
    </row>
  </sheetData>
  <mergeCells count="1">
    <mergeCell ref="B1:C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38"/>
  <sheetViews>
    <sheetView showGridLines="0" topLeftCell="A7" zoomScaleNormal="100" workbookViewId="0">
      <selection activeCell="C10" sqref="C10:C11"/>
    </sheetView>
  </sheetViews>
  <sheetFormatPr baseColWidth="10" defaultRowHeight="14.25" x14ac:dyDescent="0.2"/>
  <cols>
    <col min="1" max="1" width="11.42578125" style="94"/>
    <col min="2" max="2" width="16.7109375" style="94" customWidth="1"/>
    <col min="3" max="3" width="12.7109375" style="94" customWidth="1"/>
    <col min="4" max="4" width="4.7109375" style="94" customWidth="1"/>
    <col min="5" max="5" width="11.7109375" style="94" customWidth="1"/>
    <col min="6" max="6" width="4.7109375" style="94" customWidth="1"/>
    <col min="7" max="7" width="15.7109375" style="279" customWidth="1"/>
    <col min="8" max="9" width="15.7109375" style="94" customWidth="1"/>
    <col min="10" max="10" width="18.28515625" style="94" customWidth="1"/>
    <col min="11" max="11" width="7.7109375" style="279" hidden="1" customWidth="1"/>
    <col min="12" max="12" width="11.85546875" style="279" hidden="1" customWidth="1"/>
    <col min="13" max="15" width="14.140625" style="279" hidden="1" customWidth="1"/>
    <col min="16" max="16" width="16.85546875" style="279" customWidth="1"/>
    <col min="17" max="16384" width="11.42578125" style="279"/>
  </cols>
  <sheetData>
    <row r="1" spans="1:40" s="94" customFormat="1" ht="15" customHeight="1" x14ac:dyDescent="0.2">
      <c r="A1" s="92"/>
      <c r="B1" s="92"/>
      <c r="C1" s="92"/>
      <c r="D1" s="93"/>
      <c r="E1" s="92"/>
      <c r="F1" s="92"/>
      <c r="H1" s="92"/>
      <c r="I1" s="93"/>
      <c r="K1" s="96"/>
      <c r="L1" s="95"/>
    </row>
    <row r="2" spans="1:40" s="92" customFormat="1" ht="40.5" customHeight="1" x14ac:dyDescent="0.25">
      <c r="A2" s="97"/>
      <c r="B2" s="431" t="s">
        <v>49</v>
      </c>
      <c r="C2" s="431"/>
      <c r="D2" s="431"/>
      <c r="E2" s="441" t="s">
        <v>125</v>
      </c>
      <c r="F2" s="441"/>
      <c r="G2" s="441"/>
      <c r="H2" s="441"/>
      <c r="I2" s="260"/>
      <c r="K2" s="95"/>
      <c r="L2" s="95"/>
      <c r="AK2" s="94"/>
      <c r="AL2" s="94"/>
      <c r="AM2" s="94"/>
      <c r="AN2" s="94"/>
    </row>
    <row r="3" spans="1:40" s="99" customFormat="1" ht="15" customHeight="1" x14ac:dyDescent="0.2">
      <c r="A3" s="97"/>
      <c r="B3" s="432"/>
      <c r="C3" s="432"/>
      <c r="D3" s="98"/>
      <c r="E3" s="134"/>
      <c r="F3" s="134"/>
      <c r="H3" s="208"/>
      <c r="I3" s="98"/>
      <c r="K3" s="101"/>
      <c r="L3" s="100"/>
      <c r="P3" s="92"/>
    </row>
    <row r="4" spans="1:40" s="99" customFormat="1" ht="30" customHeight="1" x14ac:dyDescent="0.2">
      <c r="A4" s="97"/>
      <c r="B4" s="129" t="s">
        <v>83</v>
      </c>
      <c r="C4" s="462">
        <v>1</v>
      </c>
      <c r="D4" s="463"/>
      <c r="E4" s="265"/>
      <c r="G4" s="266" t="s">
        <v>123</v>
      </c>
      <c r="H4" s="270" t="str">
        <f>M15</f>
        <v>Energiebedarf</v>
      </c>
      <c r="I4" s="270" t="s">
        <v>122</v>
      </c>
      <c r="L4" s="101"/>
    </row>
    <row r="5" spans="1:40" s="99" customFormat="1" ht="30" customHeight="1" x14ac:dyDescent="0.2">
      <c r="A5" s="97"/>
      <c r="B5" s="129" t="s">
        <v>86</v>
      </c>
      <c r="C5" s="462">
        <v>4</v>
      </c>
      <c r="D5" s="463"/>
      <c r="E5" s="264"/>
      <c r="H5" s="271">
        <f t="shared" ref="H5:H13" si="0">M16</f>
        <v>128.654</v>
      </c>
      <c r="I5" s="271">
        <f>N16+O16</f>
        <v>115.73822474944592</v>
      </c>
      <c r="L5" s="101"/>
    </row>
    <row r="6" spans="1:40" s="99" customFormat="1" ht="15" customHeight="1" x14ac:dyDescent="0.2">
      <c r="A6" s="97"/>
      <c r="B6" s="442" t="s">
        <v>107</v>
      </c>
      <c r="C6" s="446">
        <f>K6/10</f>
        <v>3.4</v>
      </c>
      <c r="D6" s="452"/>
      <c r="E6" s="264"/>
      <c r="H6" s="271">
        <f t="shared" si="0"/>
        <v>135.22199999999998</v>
      </c>
      <c r="I6" s="271">
        <f t="shared" ref="I6:I13" si="1">N17+O17</f>
        <v>126.5965757397605</v>
      </c>
      <c r="K6" s="459">
        <v>34</v>
      </c>
      <c r="L6" s="101"/>
    </row>
    <row r="7" spans="1:40" s="99" customFormat="1" ht="15" customHeight="1" x14ac:dyDescent="0.2">
      <c r="A7" s="97"/>
      <c r="B7" s="443"/>
      <c r="C7" s="447"/>
      <c r="D7" s="452"/>
      <c r="E7" s="264"/>
      <c r="H7" s="271">
        <f t="shared" si="0"/>
        <v>133.57999999999998</v>
      </c>
      <c r="I7" s="271">
        <f t="shared" si="1"/>
        <v>129.99171496635259</v>
      </c>
      <c r="K7" s="459"/>
      <c r="L7" s="101"/>
    </row>
    <row r="8" spans="1:40" s="99" customFormat="1" ht="15" customHeight="1" x14ac:dyDescent="0.2">
      <c r="A8" s="97"/>
      <c r="B8" s="442" t="s">
        <v>108</v>
      </c>
      <c r="C8" s="448">
        <f>K8/10</f>
        <v>4</v>
      </c>
      <c r="D8" s="453"/>
      <c r="E8" s="264"/>
      <c r="H8" s="271">
        <f t="shared" si="0"/>
        <v>128.654</v>
      </c>
      <c r="I8" s="271">
        <f t="shared" si="1"/>
        <v>125.72985083981482</v>
      </c>
      <c r="K8" s="460">
        <v>40</v>
      </c>
      <c r="L8" s="101"/>
    </row>
    <row r="9" spans="1:40" s="99" customFormat="1" ht="15" customHeight="1" x14ac:dyDescent="0.2">
      <c r="A9" s="97"/>
      <c r="B9" s="443" t="s">
        <v>108</v>
      </c>
      <c r="C9" s="449"/>
      <c r="D9" s="454"/>
      <c r="E9" s="264"/>
      <c r="H9" s="271">
        <f t="shared" si="0"/>
        <v>123.72799999999998</v>
      </c>
      <c r="I9" s="271">
        <f t="shared" si="1"/>
        <v>120.81210283549582</v>
      </c>
      <c r="K9" s="461"/>
      <c r="L9" s="101"/>
    </row>
    <row r="10" spans="1:40" s="99" customFormat="1" ht="15" customHeight="1" x14ac:dyDescent="0.2">
      <c r="A10" s="97"/>
      <c r="B10" s="444" t="s">
        <v>63</v>
      </c>
      <c r="C10" s="450">
        <v>590</v>
      </c>
      <c r="D10" s="455"/>
      <c r="E10" s="264"/>
      <c r="H10" s="271">
        <f t="shared" si="0"/>
        <v>117.15999999999998</v>
      </c>
      <c r="I10" s="271">
        <f t="shared" si="1"/>
        <v>113.69348898062663</v>
      </c>
      <c r="K10" s="101"/>
      <c r="L10" s="101"/>
    </row>
    <row r="11" spans="1:40" s="94" customFormat="1" ht="15" customHeight="1" x14ac:dyDescent="0.2">
      <c r="B11" s="445"/>
      <c r="C11" s="451"/>
      <c r="D11" s="456"/>
      <c r="E11" s="264"/>
      <c r="F11" s="99"/>
      <c r="G11" s="264"/>
      <c r="H11" s="271">
        <f t="shared" si="0"/>
        <v>112.23399999999998</v>
      </c>
      <c r="I11" s="271">
        <f t="shared" si="1"/>
        <v>111.4664500523487</v>
      </c>
      <c r="K11" s="318" t="s">
        <v>164</v>
      </c>
      <c r="L11" s="318" t="s">
        <v>163</v>
      </c>
    </row>
    <row r="12" spans="1:40" s="94" customFormat="1" ht="30" customHeight="1" x14ac:dyDescent="0.2">
      <c r="A12" s="269"/>
      <c r="B12" s="104" t="s">
        <v>165</v>
      </c>
      <c r="C12" s="272">
        <f>K12/10</f>
        <v>7</v>
      </c>
      <c r="D12" s="105"/>
      <c r="E12" s="264"/>
      <c r="F12" s="99"/>
      <c r="G12" s="264"/>
      <c r="H12" s="271">
        <f t="shared" si="0"/>
        <v>102.38199999999999</v>
      </c>
      <c r="I12" s="271">
        <f t="shared" si="1"/>
        <v>104.65582364091803</v>
      </c>
      <c r="K12" s="283">
        <v>70</v>
      </c>
      <c r="L12" s="320">
        <f>C12/88*100</f>
        <v>7.9545454545454541</v>
      </c>
      <c r="M12" s="434" t="s">
        <v>167</v>
      </c>
      <c r="N12" s="435"/>
      <c r="O12" s="435"/>
    </row>
    <row r="13" spans="1:40" s="94" customFormat="1" ht="30" customHeight="1" x14ac:dyDescent="0.2">
      <c r="B13" s="104" t="s">
        <v>66</v>
      </c>
      <c r="C13" s="272">
        <f>K13/10</f>
        <v>6.1</v>
      </c>
      <c r="D13" s="105"/>
      <c r="E13" s="264"/>
      <c r="F13" s="99"/>
      <c r="G13" s="264"/>
      <c r="H13" s="271">
        <f t="shared" si="0"/>
        <v>94.171999999999983</v>
      </c>
      <c r="I13" s="271">
        <f t="shared" si="1"/>
        <v>97.511464153103717</v>
      </c>
      <c r="K13" s="283">
        <v>61</v>
      </c>
    </row>
    <row r="14" spans="1:40" s="94" customFormat="1" ht="15" customHeight="1" x14ac:dyDescent="0.2">
      <c r="A14" s="135"/>
      <c r="B14" s="325"/>
      <c r="C14" s="326"/>
      <c r="D14" s="327"/>
      <c r="E14" s="325"/>
      <c r="F14" s="328"/>
      <c r="G14" s="328"/>
      <c r="H14" s="327"/>
      <c r="I14" s="327"/>
      <c r="J14" s="103"/>
      <c r="K14" s="96"/>
      <c r="L14" s="95"/>
    </row>
    <row r="15" spans="1:40" s="274" customFormat="1" ht="30" customHeight="1" x14ac:dyDescent="0.2">
      <c r="A15" s="135"/>
      <c r="B15" s="136" t="s">
        <v>62</v>
      </c>
      <c r="C15" s="436" t="s">
        <v>87</v>
      </c>
      <c r="D15" s="437"/>
      <c r="E15" s="436" t="s">
        <v>166</v>
      </c>
      <c r="F15" s="440"/>
      <c r="G15" s="102" t="s">
        <v>121</v>
      </c>
      <c r="H15" s="102" t="s">
        <v>88</v>
      </c>
      <c r="I15" s="102" t="s">
        <v>176</v>
      </c>
      <c r="J15" s="262" t="s">
        <v>124</v>
      </c>
      <c r="K15" s="318" t="s">
        <v>163</v>
      </c>
      <c r="L15" s="321" t="s">
        <v>168</v>
      </c>
      <c r="M15" s="275" t="s">
        <v>118</v>
      </c>
      <c r="N15" s="275" t="s">
        <v>119</v>
      </c>
      <c r="O15" s="275" t="s">
        <v>120</v>
      </c>
    </row>
    <row r="16" spans="1:40" ht="30" customHeight="1" x14ac:dyDescent="0.2">
      <c r="A16" s="261">
        <v>20</v>
      </c>
      <c r="B16" s="137">
        <v>20</v>
      </c>
      <c r="C16" s="438">
        <f>INDEX(Lakkurve!$B$6:$L$14,MATCH('1. Laktation'!B16,Lakkurve!$A$6:$A$14,0),MATCH('1. Laktation'!$C$5,Lakkurve!$B$4:$L$4,0))</f>
        <v>28.5</v>
      </c>
      <c r="D16" s="439"/>
      <c r="E16" s="276">
        <f t="shared" ref="E16:E24" si="2">K16/10</f>
        <v>7.5</v>
      </c>
      <c r="F16" s="226"/>
      <c r="G16" s="277">
        <f>H16-(E16*88/100)</f>
        <v>10.366922090073102</v>
      </c>
      <c r="H16" s="278">
        <f>'F1'!F$35</f>
        <v>16.966922090073101</v>
      </c>
      <c r="I16" s="253">
        <f t="shared" ref="I16:I24" si="3">-M16+N16+O16</f>
        <v>-12.915775250554077</v>
      </c>
      <c r="J16" s="261">
        <v>-10</v>
      </c>
      <c r="K16" s="283">
        <v>75</v>
      </c>
      <c r="M16" s="280">
        <f>Bedarf!$C$28+Bedarf!$H$28*'1. Laktation'!C16</f>
        <v>128.654</v>
      </c>
      <c r="N16" s="281">
        <f>$C$12*E16</f>
        <v>52.5</v>
      </c>
      <c r="O16" s="280">
        <f t="shared" ref="O16:O24" si="4">$C$13*G16</f>
        <v>63.238224749445919</v>
      </c>
    </row>
    <row r="17" spans="1:63" ht="30" customHeight="1" x14ac:dyDescent="0.2">
      <c r="A17" s="261">
        <v>20</v>
      </c>
      <c r="B17" s="137">
        <v>40</v>
      </c>
      <c r="C17" s="438">
        <f>INDEX(Lakkurve!$B$6:$L$14,MATCH('1. Laktation'!B17,Lakkurve!$A$6:$A$14,0),MATCH('1. Laktation'!$C$5,Lakkurve!$B$4:$L$4,0))</f>
        <v>30.5</v>
      </c>
      <c r="D17" s="439"/>
      <c r="E17" s="276">
        <f t="shared" si="2"/>
        <v>9</v>
      </c>
      <c r="F17" s="226"/>
      <c r="G17" s="277">
        <f t="shared" ref="G17:G24" si="5">H17-(E17*88/100)</f>
        <v>10.425668154059098</v>
      </c>
      <c r="H17" s="278">
        <f>'F1'!G$35</f>
        <v>18.345668154059098</v>
      </c>
      <c r="I17" s="253">
        <f t="shared" si="3"/>
        <v>-8.6254242602394839</v>
      </c>
      <c r="J17" s="261">
        <v>-10</v>
      </c>
      <c r="K17" s="283">
        <v>90</v>
      </c>
      <c r="M17" s="280">
        <f>Bedarf!$C$28+Bedarf!$H$28*'1. Laktation'!C17</f>
        <v>135.22199999999998</v>
      </c>
      <c r="N17" s="281">
        <f t="shared" ref="N17:N24" si="6">$C$12*E17</f>
        <v>63</v>
      </c>
      <c r="O17" s="280">
        <f t="shared" si="4"/>
        <v>63.596575739760496</v>
      </c>
    </row>
    <row r="18" spans="1:63" ht="30" customHeight="1" x14ac:dyDescent="0.2">
      <c r="A18" s="261">
        <v>40</v>
      </c>
      <c r="B18" s="137">
        <v>60</v>
      </c>
      <c r="C18" s="457">
        <f>INDEX(Lakkurve!$B$6:$L$14,MATCH('1. Laktation'!B18,Lakkurve!$A$6:$A$14,0),MATCH('1. Laktation'!$C$5,Lakkurve!$B$4:$L$4,0))</f>
        <v>30</v>
      </c>
      <c r="D18" s="458"/>
      <c r="E18" s="276">
        <f t="shared" si="2"/>
        <v>9.5</v>
      </c>
      <c r="F18" s="226"/>
      <c r="G18" s="277">
        <f t="shared" si="5"/>
        <v>10.40847786333649</v>
      </c>
      <c r="H18" s="278">
        <f>'F1'!H$35</f>
        <v>18.768477863336489</v>
      </c>
      <c r="I18" s="253">
        <f t="shared" si="3"/>
        <v>-3.5882850336474021</v>
      </c>
      <c r="J18" s="261">
        <v>-10</v>
      </c>
      <c r="K18" s="283">
        <v>95</v>
      </c>
      <c r="M18" s="280">
        <f>Bedarf!$C$28+Bedarf!$H$28*'1. Laktation'!C18</f>
        <v>133.57999999999998</v>
      </c>
      <c r="N18" s="281">
        <f t="shared" si="6"/>
        <v>66.5</v>
      </c>
      <c r="O18" s="280">
        <f t="shared" si="4"/>
        <v>63.491714966352582</v>
      </c>
    </row>
    <row r="19" spans="1:63" ht="30" customHeight="1" x14ac:dyDescent="0.2">
      <c r="A19" s="261">
        <v>50</v>
      </c>
      <c r="B19" s="137">
        <v>100</v>
      </c>
      <c r="C19" s="438">
        <f>INDEX(Lakkurve!$B$6:$L$14,MATCH('1. Laktation'!B19,Lakkurve!$A$6:$A$14,0),MATCH('1. Laktation'!$C$5,Lakkurve!$B$4:$L$4,0))</f>
        <v>28.5</v>
      </c>
      <c r="D19" s="439"/>
      <c r="E19" s="276">
        <f t="shared" si="2"/>
        <v>8.5</v>
      </c>
      <c r="F19" s="226"/>
      <c r="G19" s="277">
        <f t="shared" si="5"/>
        <v>10.857352596690955</v>
      </c>
      <c r="H19" s="278">
        <f>'F1'!I$35</f>
        <v>18.337352596690955</v>
      </c>
      <c r="I19" s="253">
        <f t="shared" si="3"/>
        <v>-2.9241491601851806</v>
      </c>
      <c r="J19" s="261">
        <f>0</f>
        <v>0</v>
      </c>
      <c r="K19" s="283">
        <v>85</v>
      </c>
      <c r="M19" s="280">
        <f>Bedarf!$C$28+Bedarf!$H$28*'1. Laktation'!C19</f>
        <v>128.654</v>
      </c>
      <c r="N19" s="281">
        <f t="shared" si="6"/>
        <v>59.5</v>
      </c>
      <c r="O19" s="280">
        <f t="shared" si="4"/>
        <v>66.229850839814816</v>
      </c>
    </row>
    <row r="20" spans="1:63" ht="30" customHeight="1" x14ac:dyDescent="0.2">
      <c r="A20" s="261">
        <v>50</v>
      </c>
      <c r="B20" s="137">
        <v>150</v>
      </c>
      <c r="C20" s="438">
        <f>INDEX(Lakkurve!$B$6:$L$14,MATCH('1. Laktation'!B20,Lakkurve!$A$6:$A$14,0),MATCH('1. Laktation'!$C$5,Lakkurve!$B$4:$L$4,0))</f>
        <v>27</v>
      </c>
      <c r="D20" s="439"/>
      <c r="E20" s="276">
        <f t="shared" si="2"/>
        <v>7.5</v>
      </c>
      <c r="F20" s="226"/>
      <c r="G20" s="277">
        <f t="shared" si="5"/>
        <v>11.198705382868168</v>
      </c>
      <c r="H20" s="278">
        <f>'F1'!J$35</f>
        <v>17.798705382868167</v>
      </c>
      <c r="I20" s="253">
        <f t="shared" si="3"/>
        <v>-2.9158971645041589</v>
      </c>
      <c r="J20" s="261">
        <f>0</f>
        <v>0</v>
      </c>
      <c r="K20" s="283">
        <v>75</v>
      </c>
      <c r="M20" s="280">
        <f>Bedarf!$C$28+Bedarf!$H$28*'1. Laktation'!C20</f>
        <v>123.72799999999998</v>
      </c>
      <c r="N20" s="281">
        <f t="shared" si="6"/>
        <v>52.5</v>
      </c>
      <c r="O20" s="280">
        <f t="shared" si="4"/>
        <v>68.312102835495821</v>
      </c>
    </row>
    <row r="21" spans="1:63" ht="30" customHeight="1" x14ac:dyDescent="0.2">
      <c r="A21" s="261">
        <v>50</v>
      </c>
      <c r="B21" s="137">
        <v>200</v>
      </c>
      <c r="C21" s="438">
        <f>INDEX(Lakkurve!$B$6:$L$14,MATCH('1. Laktation'!B21,Lakkurve!$A$6:$A$14,0),MATCH('1. Laktation'!$C$5,Lakkurve!$B$4:$L$4,0))</f>
        <v>25</v>
      </c>
      <c r="D21" s="439"/>
      <c r="E21" s="276">
        <f t="shared" si="2"/>
        <v>6</v>
      </c>
      <c r="F21" s="226"/>
      <c r="G21" s="277">
        <f t="shared" si="5"/>
        <v>11.753030980430594</v>
      </c>
      <c r="H21" s="278">
        <f>'F1'!K$35</f>
        <v>17.033030980430595</v>
      </c>
      <c r="I21" s="253">
        <f t="shared" si="3"/>
        <v>-3.4665110193733568</v>
      </c>
      <c r="J21" s="261">
        <v>5</v>
      </c>
      <c r="K21" s="283">
        <v>60</v>
      </c>
      <c r="M21" s="280">
        <f>Bedarf!$C$28+Bedarf!$H$28*'1. Laktation'!C21</f>
        <v>117.15999999999998</v>
      </c>
      <c r="N21" s="281">
        <f t="shared" si="6"/>
        <v>42</v>
      </c>
      <c r="O21" s="280">
        <f t="shared" si="4"/>
        <v>71.693488980626626</v>
      </c>
    </row>
    <row r="22" spans="1:63" ht="30" customHeight="1" x14ac:dyDescent="0.2">
      <c r="A22" s="261">
        <v>50</v>
      </c>
      <c r="B22" s="137">
        <v>250</v>
      </c>
      <c r="C22" s="438">
        <f>INDEX(Lakkurve!$B$6:$L$14,MATCH('1. Laktation'!B22,Lakkurve!$A$6:$A$14,0),MATCH('1. Laktation'!$C$5,Lakkurve!$B$4:$L$4,0))</f>
        <v>23.5</v>
      </c>
      <c r="D22" s="439"/>
      <c r="E22" s="276">
        <f t="shared" si="2"/>
        <v>5.5</v>
      </c>
      <c r="F22" s="226"/>
      <c r="G22" s="277">
        <f t="shared" si="5"/>
        <v>11.961713123335855</v>
      </c>
      <c r="H22" s="278">
        <f>'F1'!L$35</f>
        <v>16.801713123335855</v>
      </c>
      <c r="I22" s="253">
        <f t="shared" si="3"/>
        <v>-0.76754994765127549</v>
      </c>
      <c r="J22" s="261">
        <v>5</v>
      </c>
      <c r="K22" s="283">
        <v>55</v>
      </c>
      <c r="M22" s="280">
        <f>Bedarf!$C$28+Bedarf!$H$28*'1. Laktation'!C22</f>
        <v>112.23399999999998</v>
      </c>
      <c r="N22" s="281">
        <f t="shared" si="6"/>
        <v>38.5</v>
      </c>
      <c r="O22" s="280">
        <f t="shared" si="4"/>
        <v>72.966450052348705</v>
      </c>
    </row>
    <row r="23" spans="1:63" ht="30" customHeight="1" x14ac:dyDescent="0.2">
      <c r="A23" s="261">
        <v>50</v>
      </c>
      <c r="B23" s="137">
        <v>300</v>
      </c>
      <c r="C23" s="438">
        <f>INDEX(Lakkurve!$B$6:$L$14,MATCH('1. Laktation'!B23,Lakkurve!$A$6:$A$14,0),MATCH('1. Laktation'!$C$5,Lakkurve!$B$4:$L$4,0))</f>
        <v>20.5</v>
      </c>
      <c r="D23" s="439"/>
      <c r="E23" s="276">
        <f t="shared" si="2"/>
        <v>4</v>
      </c>
      <c r="F23" s="226"/>
      <c r="G23" s="277">
        <f t="shared" si="5"/>
        <v>12.566528465724268</v>
      </c>
      <c r="H23" s="278">
        <f>'F1'!M$35</f>
        <v>16.086528465724268</v>
      </c>
      <c r="I23" s="253">
        <f t="shared" si="3"/>
        <v>2.2738236409180388</v>
      </c>
      <c r="J23" s="261">
        <v>10</v>
      </c>
      <c r="K23" s="283">
        <v>40</v>
      </c>
      <c r="M23" s="280">
        <f>Bedarf!$C$28+Bedarf!$H$28*'1. Laktation'!C23</f>
        <v>102.38199999999999</v>
      </c>
      <c r="N23" s="281">
        <f t="shared" si="6"/>
        <v>28</v>
      </c>
      <c r="O23" s="280">
        <f t="shared" si="4"/>
        <v>76.65582364091803</v>
      </c>
    </row>
    <row r="24" spans="1:63" ht="30" customHeight="1" x14ac:dyDescent="0.2">
      <c r="A24" s="261">
        <v>50</v>
      </c>
      <c r="B24" s="137">
        <v>350</v>
      </c>
      <c r="C24" s="438">
        <f>INDEX(Lakkurve!$B$6:$L$14,MATCH('1. Laktation'!B24,Lakkurve!$A$6:$A$14,0),MATCH('1. Laktation'!$C$5,Lakkurve!$B$4:$L$4,0))</f>
        <v>18</v>
      </c>
      <c r="D24" s="439"/>
      <c r="E24" s="276">
        <f t="shared" si="2"/>
        <v>2</v>
      </c>
      <c r="F24" s="226"/>
      <c r="G24" s="277">
        <f t="shared" si="5"/>
        <v>13.690403959525201</v>
      </c>
      <c r="H24" s="278">
        <f>'F1'!N$35</f>
        <v>15.4504039595252</v>
      </c>
      <c r="I24" s="253">
        <f t="shared" si="3"/>
        <v>3.3394641531037337</v>
      </c>
      <c r="J24" s="261">
        <v>10</v>
      </c>
      <c r="K24" s="283">
        <v>20</v>
      </c>
      <c r="M24" s="280">
        <f>Bedarf!$C$28+Bedarf!$H$28*'1. Laktation'!C24</f>
        <v>94.171999999999983</v>
      </c>
      <c r="N24" s="281">
        <f t="shared" si="6"/>
        <v>14</v>
      </c>
      <c r="O24" s="280">
        <f t="shared" si="4"/>
        <v>83.511464153103717</v>
      </c>
    </row>
    <row r="25" spans="1:63" ht="25.5" x14ac:dyDescent="0.2">
      <c r="B25" s="329" t="s">
        <v>170</v>
      </c>
      <c r="E25" s="282"/>
      <c r="F25" s="329" t="s">
        <v>174</v>
      </c>
      <c r="L25" s="322" t="s">
        <v>169</v>
      </c>
    </row>
    <row r="26" spans="1:63" x14ac:dyDescent="0.2">
      <c r="B26" s="329"/>
      <c r="E26" s="331"/>
      <c r="F26" s="329" t="s">
        <v>177</v>
      </c>
    </row>
    <row r="27" spans="1:63" s="143" customFormat="1" ht="11.25" customHeight="1" x14ac:dyDescent="0.2">
      <c r="A27" s="138"/>
      <c r="B27" s="139" t="s">
        <v>89</v>
      </c>
      <c r="C27" s="140"/>
      <c r="D27" s="140"/>
      <c r="E27" s="140"/>
      <c r="F27" s="140"/>
      <c r="G27" s="140"/>
      <c r="H27" s="140"/>
      <c r="I27" s="140"/>
      <c r="J27" s="150"/>
      <c r="K27" s="142"/>
      <c r="L27" s="142"/>
      <c r="M27" s="142"/>
      <c r="N27" s="142"/>
      <c r="O27" s="142"/>
      <c r="P27" s="142"/>
      <c r="Q27" s="142"/>
      <c r="R27" s="142"/>
    </row>
    <row r="28" spans="1:63" s="147" customFormat="1" ht="11.25" customHeight="1" x14ac:dyDescent="0.2">
      <c r="A28" s="144"/>
      <c r="B28" s="145" t="s">
        <v>90</v>
      </c>
      <c r="C28" s="146"/>
      <c r="D28" s="146"/>
      <c r="E28" s="146"/>
      <c r="F28" s="146"/>
      <c r="G28" s="146"/>
      <c r="H28" s="146"/>
      <c r="I28" s="146"/>
      <c r="J28" s="150"/>
      <c r="K28" s="94"/>
      <c r="L28" s="94"/>
      <c r="M28" s="94"/>
      <c r="N28" s="94"/>
      <c r="O28" s="94"/>
      <c r="P28" s="94"/>
      <c r="Q28" s="94"/>
      <c r="R28" s="94"/>
    </row>
    <row r="29" spans="1:63" s="147" customFormat="1" ht="11.25" customHeight="1" x14ac:dyDescent="0.2">
      <c r="A29" s="144"/>
      <c r="B29" s="148" t="s">
        <v>91</v>
      </c>
      <c r="C29" s="149"/>
      <c r="D29" s="149"/>
      <c r="E29" s="149"/>
      <c r="F29" s="149"/>
      <c r="G29" s="149"/>
      <c r="H29" s="149"/>
      <c r="I29" s="149"/>
      <c r="J29" s="150"/>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Z29" s="94"/>
      <c r="BA29" s="94"/>
      <c r="BB29" s="94"/>
      <c r="BC29" s="94"/>
      <c r="BD29" s="94"/>
      <c r="BE29" s="94"/>
      <c r="BF29" s="94"/>
      <c r="BG29" s="94"/>
      <c r="BH29" s="94"/>
      <c r="BI29" s="94"/>
      <c r="BJ29" s="94"/>
      <c r="BK29" s="94"/>
    </row>
    <row r="30" spans="1:63" s="150" customFormat="1" x14ac:dyDescent="0.25"/>
    <row r="31" spans="1:63" ht="30" customHeight="1" x14ac:dyDescent="0.2"/>
    <row r="32" spans="1:63" ht="30" customHeight="1" x14ac:dyDescent="0.2">
      <c r="A32" s="279"/>
      <c r="B32" s="279"/>
      <c r="C32" s="279"/>
      <c r="D32" s="279"/>
      <c r="E32" s="279"/>
      <c r="F32" s="279"/>
      <c r="H32" s="279"/>
      <c r="I32" s="279"/>
      <c r="J32" s="279"/>
    </row>
    <row r="33" spans="1:10" x14ac:dyDescent="0.2">
      <c r="A33" s="279"/>
      <c r="B33" s="279"/>
      <c r="C33" s="279"/>
      <c r="D33" s="279"/>
      <c r="E33" s="279"/>
      <c r="F33" s="279"/>
      <c r="H33" s="279"/>
      <c r="I33" s="279"/>
      <c r="J33" s="279"/>
    </row>
    <row r="34" spans="1:10" x14ac:dyDescent="0.2">
      <c r="A34" s="279"/>
      <c r="B34" s="279"/>
      <c r="C34" s="279"/>
      <c r="D34" s="279"/>
      <c r="E34" s="279"/>
      <c r="F34" s="279"/>
      <c r="H34" s="279"/>
      <c r="I34" s="279"/>
      <c r="J34" s="279"/>
    </row>
    <row r="35" spans="1:10" x14ac:dyDescent="0.2">
      <c r="A35" s="279"/>
      <c r="B35" s="279"/>
      <c r="C35" s="279"/>
      <c r="D35" s="279"/>
      <c r="E35" s="279"/>
      <c r="F35" s="279"/>
      <c r="H35" s="279"/>
      <c r="I35" s="279"/>
      <c r="J35" s="279"/>
    </row>
    <row r="36" spans="1:10" x14ac:dyDescent="0.2">
      <c r="A36" s="279"/>
      <c r="B36" s="279"/>
      <c r="C36" s="279"/>
      <c r="D36" s="279"/>
      <c r="E36" s="279"/>
      <c r="F36" s="279"/>
      <c r="H36" s="279"/>
      <c r="I36" s="279"/>
      <c r="J36" s="279"/>
    </row>
    <row r="37" spans="1:10" x14ac:dyDescent="0.2">
      <c r="A37" s="279"/>
      <c r="B37" s="279"/>
      <c r="C37" s="279"/>
      <c r="D37" s="279"/>
      <c r="E37" s="279"/>
      <c r="F37" s="279"/>
      <c r="H37" s="279"/>
      <c r="I37" s="279"/>
      <c r="J37" s="279"/>
    </row>
    <row r="38" spans="1:10" x14ac:dyDescent="0.2">
      <c r="A38" s="279"/>
      <c r="B38" s="279"/>
      <c r="C38" s="279"/>
      <c r="D38" s="279"/>
      <c r="E38" s="279"/>
      <c r="F38" s="279"/>
      <c r="H38" s="279"/>
      <c r="I38" s="279"/>
      <c r="J38" s="279"/>
    </row>
  </sheetData>
  <sheetProtection password="CF35" sheet="1" objects="1" scenarios="1" insertHyperlinks="0" selectLockedCells="1"/>
  <mergeCells count="28">
    <mergeCell ref="K6:K7"/>
    <mergeCell ref="K8:K9"/>
    <mergeCell ref="C4:D4"/>
    <mergeCell ref="C5:D5"/>
    <mergeCell ref="C23:D23"/>
    <mergeCell ref="C24:D24"/>
    <mergeCell ref="C17:D17"/>
    <mergeCell ref="C18:D18"/>
    <mergeCell ref="C19:D19"/>
    <mergeCell ref="C20:D20"/>
    <mergeCell ref="C21:D21"/>
    <mergeCell ref="C22:D22"/>
    <mergeCell ref="M12:O12"/>
    <mergeCell ref="B2:D2"/>
    <mergeCell ref="B3:C3"/>
    <mergeCell ref="C15:D15"/>
    <mergeCell ref="C16:D16"/>
    <mergeCell ref="E15:F15"/>
    <mergeCell ref="E2:H2"/>
    <mergeCell ref="B6:B7"/>
    <mergeCell ref="B8:B9"/>
    <mergeCell ref="B10:B11"/>
    <mergeCell ref="C6:C7"/>
    <mergeCell ref="C8:C9"/>
    <mergeCell ref="C10:C11"/>
    <mergeCell ref="D6:D7"/>
    <mergeCell ref="D8:D9"/>
    <mergeCell ref="D10:D11"/>
  </mergeCells>
  <conditionalFormatting sqref="E17">
    <cfRule type="expression" dxfId="116" priority="16">
      <formula>E17*0.88&gt;H17/2</formula>
    </cfRule>
  </conditionalFormatting>
  <conditionalFormatting sqref="I16">
    <cfRule type="expression" dxfId="115" priority="15">
      <formula>I16&lt;J16</formula>
    </cfRule>
  </conditionalFormatting>
  <conditionalFormatting sqref="I17:I18">
    <cfRule type="expression" dxfId="114" priority="14">
      <formula>I17&lt;J17</formula>
    </cfRule>
  </conditionalFormatting>
  <conditionalFormatting sqref="I19:I20">
    <cfRule type="expression" dxfId="113" priority="13">
      <formula>I19&lt;J19</formula>
    </cfRule>
  </conditionalFormatting>
  <conditionalFormatting sqref="I21">
    <cfRule type="expression" dxfId="112" priority="12">
      <formula>I21&gt;J21</formula>
    </cfRule>
  </conditionalFormatting>
  <conditionalFormatting sqref="I22:I24">
    <cfRule type="expression" dxfId="111" priority="11">
      <formula>I22&gt;J22</formula>
    </cfRule>
  </conditionalFormatting>
  <conditionalFormatting sqref="C12">
    <cfRule type="expression" dxfId="110" priority="9">
      <formula>#REF!&lt;#REF!</formula>
    </cfRule>
  </conditionalFormatting>
  <conditionalFormatting sqref="B25:B26">
    <cfRule type="expression" dxfId="109" priority="7">
      <formula>#REF!&lt;#REF!</formula>
    </cfRule>
  </conditionalFormatting>
  <conditionalFormatting sqref="E18:E24">
    <cfRule type="expression" dxfId="108" priority="2">
      <formula>E18*0.88&gt;H18/2</formula>
    </cfRule>
  </conditionalFormatting>
  <conditionalFormatting sqref="E16">
    <cfRule type="expression" dxfId="107" priority="1">
      <formula>E16*0.88&gt;H16/2</formula>
    </cfRule>
  </conditionalFormatting>
  <hyperlinks>
    <hyperlink ref="B27" r:id="rId1" display="© Copyright: Möller Agrarmarketing e.K."/>
  </hyperlinks>
  <printOptions horizontalCentered="1"/>
  <pageMargins left="0.70866141732283472" right="0.70866141732283472" top="0.78740157480314965" bottom="0.78740157480314965" header="0.31496062992125984" footer="0.31496062992125984"/>
  <pageSetup paperSize="9" scale="8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Drop Down 1">
              <controlPr defaultSize="0" autoLine="0" autoPict="0">
                <anchor moveWithCells="1" sizeWithCells="1">
                  <from>
                    <xdr:col>2</xdr:col>
                    <xdr:colOff>19050</xdr:colOff>
                    <xdr:row>3</xdr:row>
                    <xdr:rowOff>19050</xdr:rowOff>
                  </from>
                  <to>
                    <xdr:col>3</xdr:col>
                    <xdr:colOff>295275</xdr:colOff>
                    <xdr:row>3</xdr:row>
                    <xdr:rowOff>371475</xdr:rowOff>
                  </to>
                </anchor>
              </controlPr>
            </control>
          </mc:Choice>
        </mc:AlternateContent>
        <mc:AlternateContent xmlns:mc="http://schemas.openxmlformats.org/markup-compatibility/2006">
          <mc:Choice Requires="x14">
            <control shapeId="4098" r:id="rId6" name="Spinner 2">
              <controlPr defaultSize="0" autoPict="0">
                <anchor moveWithCells="1" sizeWithCells="1">
                  <from>
                    <xdr:col>3</xdr:col>
                    <xdr:colOff>9525</xdr:colOff>
                    <xdr:row>9</xdr:row>
                    <xdr:rowOff>9525</xdr:rowOff>
                  </from>
                  <to>
                    <xdr:col>3</xdr:col>
                    <xdr:colOff>304800</xdr:colOff>
                    <xdr:row>10</xdr:row>
                    <xdr:rowOff>180975</xdr:rowOff>
                  </to>
                </anchor>
              </controlPr>
            </control>
          </mc:Choice>
        </mc:AlternateContent>
        <mc:AlternateContent xmlns:mc="http://schemas.openxmlformats.org/markup-compatibility/2006">
          <mc:Choice Requires="x14">
            <control shapeId="4100" r:id="rId7" name="Drop Down 4">
              <controlPr defaultSize="0" autoLine="0" autoPict="0">
                <anchor moveWithCells="1" sizeWithCells="1">
                  <from>
                    <xdr:col>2</xdr:col>
                    <xdr:colOff>19050</xdr:colOff>
                    <xdr:row>4</xdr:row>
                    <xdr:rowOff>9525</xdr:rowOff>
                  </from>
                  <to>
                    <xdr:col>3</xdr:col>
                    <xdr:colOff>295275</xdr:colOff>
                    <xdr:row>4</xdr:row>
                    <xdr:rowOff>361950</xdr:rowOff>
                  </to>
                </anchor>
              </controlPr>
            </control>
          </mc:Choice>
        </mc:AlternateContent>
        <mc:AlternateContent xmlns:mc="http://schemas.openxmlformats.org/markup-compatibility/2006">
          <mc:Choice Requires="x14">
            <control shapeId="4101" r:id="rId8" name="Spinner 5">
              <controlPr defaultSize="0" autoPict="0">
                <anchor moveWithCells="1" sizeWithCells="1">
                  <from>
                    <xdr:col>5</xdr:col>
                    <xdr:colOff>9525</xdr:colOff>
                    <xdr:row>15</xdr:row>
                    <xdr:rowOff>9525</xdr:rowOff>
                  </from>
                  <to>
                    <xdr:col>5</xdr:col>
                    <xdr:colOff>304800</xdr:colOff>
                    <xdr:row>15</xdr:row>
                    <xdr:rowOff>371475</xdr:rowOff>
                  </to>
                </anchor>
              </controlPr>
            </control>
          </mc:Choice>
        </mc:AlternateContent>
        <mc:AlternateContent xmlns:mc="http://schemas.openxmlformats.org/markup-compatibility/2006">
          <mc:Choice Requires="x14">
            <control shapeId="4102" r:id="rId9" name="Spinner 6">
              <controlPr defaultSize="0" autoPict="0">
                <anchor moveWithCells="1" sizeWithCells="1">
                  <from>
                    <xdr:col>3</xdr:col>
                    <xdr:colOff>9525</xdr:colOff>
                    <xdr:row>11</xdr:row>
                    <xdr:rowOff>9525</xdr:rowOff>
                  </from>
                  <to>
                    <xdr:col>3</xdr:col>
                    <xdr:colOff>304800</xdr:colOff>
                    <xdr:row>11</xdr:row>
                    <xdr:rowOff>371475</xdr:rowOff>
                  </to>
                </anchor>
              </controlPr>
            </control>
          </mc:Choice>
        </mc:AlternateContent>
        <mc:AlternateContent xmlns:mc="http://schemas.openxmlformats.org/markup-compatibility/2006">
          <mc:Choice Requires="x14">
            <control shapeId="4103" r:id="rId10" name="Spinner 7">
              <controlPr defaultSize="0" autoPict="0">
                <anchor moveWithCells="1" sizeWithCells="1">
                  <from>
                    <xdr:col>3</xdr:col>
                    <xdr:colOff>9525</xdr:colOff>
                    <xdr:row>12</xdr:row>
                    <xdr:rowOff>9525</xdr:rowOff>
                  </from>
                  <to>
                    <xdr:col>3</xdr:col>
                    <xdr:colOff>304800</xdr:colOff>
                    <xdr:row>12</xdr:row>
                    <xdr:rowOff>371475</xdr:rowOff>
                  </to>
                </anchor>
              </controlPr>
            </control>
          </mc:Choice>
        </mc:AlternateContent>
        <mc:AlternateContent xmlns:mc="http://schemas.openxmlformats.org/markup-compatibility/2006">
          <mc:Choice Requires="x14">
            <control shapeId="4112" r:id="rId11" name="Spinner 16">
              <controlPr defaultSize="0" autoPict="0">
                <anchor moveWithCells="1" sizeWithCells="1">
                  <from>
                    <xdr:col>5</xdr:col>
                    <xdr:colOff>9525</xdr:colOff>
                    <xdr:row>16</xdr:row>
                    <xdr:rowOff>9525</xdr:rowOff>
                  </from>
                  <to>
                    <xdr:col>5</xdr:col>
                    <xdr:colOff>304800</xdr:colOff>
                    <xdr:row>16</xdr:row>
                    <xdr:rowOff>371475</xdr:rowOff>
                  </to>
                </anchor>
              </controlPr>
            </control>
          </mc:Choice>
        </mc:AlternateContent>
        <mc:AlternateContent xmlns:mc="http://schemas.openxmlformats.org/markup-compatibility/2006">
          <mc:Choice Requires="x14">
            <control shapeId="4113" r:id="rId12" name="Spinner 17">
              <controlPr defaultSize="0" autoPict="0">
                <anchor moveWithCells="1" sizeWithCells="1">
                  <from>
                    <xdr:col>5</xdr:col>
                    <xdr:colOff>9525</xdr:colOff>
                    <xdr:row>17</xdr:row>
                    <xdr:rowOff>9525</xdr:rowOff>
                  </from>
                  <to>
                    <xdr:col>5</xdr:col>
                    <xdr:colOff>304800</xdr:colOff>
                    <xdr:row>17</xdr:row>
                    <xdr:rowOff>371475</xdr:rowOff>
                  </to>
                </anchor>
              </controlPr>
            </control>
          </mc:Choice>
        </mc:AlternateContent>
        <mc:AlternateContent xmlns:mc="http://schemas.openxmlformats.org/markup-compatibility/2006">
          <mc:Choice Requires="x14">
            <control shapeId="4114" r:id="rId13" name="Spinner 18">
              <controlPr defaultSize="0" autoPict="0">
                <anchor moveWithCells="1" sizeWithCells="1">
                  <from>
                    <xdr:col>5</xdr:col>
                    <xdr:colOff>9525</xdr:colOff>
                    <xdr:row>18</xdr:row>
                    <xdr:rowOff>9525</xdr:rowOff>
                  </from>
                  <to>
                    <xdr:col>5</xdr:col>
                    <xdr:colOff>304800</xdr:colOff>
                    <xdr:row>18</xdr:row>
                    <xdr:rowOff>371475</xdr:rowOff>
                  </to>
                </anchor>
              </controlPr>
            </control>
          </mc:Choice>
        </mc:AlternateContent>
        <mc:AlternateContent xmlns:mc="http://schemas.openxmlformats.org/markup-compatibility/2006">
          <mc:Choice Requires="x14">
            <control shapeId="4115" r:id="rId14" name="Spinner 19">
              <controlPr defaultSize="0" autoPict="0">
                <anchor moveWithCells="1" sizeWithCells="1">
                  <from>
                    <xdr:col>5</xdr:col>
                    <xdr:colOff>9525</xdr:colOff>
                    <xdr:row>19</xdr:row>
                    <xdr:rowOff>9525</xdr:rowOff>
                  </from>
                  <to>
                    <xdr:col>5</xdr:col>
                    <xdr:colOff>304800</xdr:colOff>
                    <xdr:row>19</xdr:row>
                    <xdr:rowOff>371475</xdr:rowOff>
                  </to>
                </anchor>
              </controlPr>
            </control>
          </mc:Choice>
        </mc:AlternateContent>
        <mc:AlternateContent xmlns:mc="http://schemas.openxmlformats.org/markup-compatibility/2006">
          <mc:Choice Requires="x14">
            <control shapeId="4116" r:id="rId15" name="Spinner 20">
              <controlPr defaultSize="0" autoPict="0">
                <anchor moveWithCells="1" sizeWithCells="1">
                  <from>
                    <xdr:col>5</xdr:col>
                    <xdr:colOff>9525</xdr:colOff>
                    <xdr:row>20</xdr:row>
                    <xdr:rowOff>9525</xdr:rowOff>
                  </from>
                  <to>
                    <xdr:col>5</xdr:col>
                    <xdr:colOff>304800</xdr:colOff>
                    <xdr:row>20</xdr:row>
                    <xdr:rowOff>371475</xdr:rowOff>
                  </to>
                </anchor>
              </controlPr>
            </control>
          </mc:Choice>
        </mc:AlternateContent>
        <mc:AlternateContent xmlns:mc="http://schemas.openxmlformats.org/markup-compatibility/2006">
          <mc:Choice Requires="x14">
            <control shapeId="4117" r:id="rId16" name="Spinner 21">
              <controlPr defaultSize="0" autoPict="0">
                <anchor moveWithCells="1" sizeWithCells="1">
                  <from>
                    <xdr:col>5</xdr:col>
                    <xdr:colOff>9525</xdr:colOff>
                    <xdr:row>21</xdr:row>
                    <xdr:rowOff>9525</xdr:rowOff>
                  </from>
                  <to>
                    <xdr:col>5</xdr:col>
                    <xdr:colOff>304800</xdr:colOff>
                    <xdr:row>21</xdr:row>
                    <xdr:rowOff>371475</xdr:rowOff>
                  </to>
                </anchor>
              </controlPr>
            </control>
          </mc:Choice>
        </mc:AlternateContent>
        <mc:AlternateContent xmlns:mc="http://schemas.openxmlformats.org/markup-compatibility/2006">
          <mc:Choice Requires="x14">
            <control shapeId="4118" r:id="rId17" name="Spinner 22">
              <controlPr defaultSize="0" autoPict="0">
                <anchor moveWithCells="1" sizeWithCells="1">
                  <from>
                    <xdr:col>5</xdr:col>
                    <xdr:colOff>9525</xdr:colOff>
                    <xdr:row>22</xdr:row>
                    <xdr:rowOff>9525</xdr:rowOff>
                  </from>
                  <to>
                    <xdr:col>5</xdr:col>
                    <xdr:colOff>304800</xdr:colOff>
                    <xdr:row>22</xdr:row>
                    <xdr:rowOff>371475</xdr:rowOff>
                  </to>
                </anchor>
              </controlPr>
            </control>
          </mc:Choice>
        </mc:AlternateContent>
        <mc:AlternateContent xmlns:mc="http://schemas.openxmlformats.org/markup-compatibility/2006">
          <mc:Choice Requires="x14">
            <control shapeId="4119" r:id="rId18" name="Spinner 23">
              <controlPr defaultSize="0" autoPict="0">
                <anchor moveWithCells="1" sizeWithCells="1">
                  <from>
                    <xdr:col>5</xdr:col>
                    <xdr:colOff>9525</xdr:colOff>
                    <xdr:row>23</xdr:row>
                    <xdr:rowOff>9525</xdr:rowOff>
                  </from>
                  <to>
                    <xdr:col>5</xdr:col>
                    <xdr:colOff>304800</xdr:colOff>
                    <xdr:row>23</xdr:row>
                    <xdr:rowOff>371475</xdr:rowOff>
                  </to>
                </anchor>
              </controlPr>
            </control>
          </mc:Choice>
        </mc:AlternateContent>
        <mc:AlternateContent xmlns:mc="http://schemas.openxmlformats.org/markup-compatibility/2006">
          <mc:Choice Requires="x14">
            <control shapeId="4120" r:id="rId19" name="Spinner 24">
              <controlPr defaultSize="0" autoPict="0">
                <anchor moveWithCells="1" sizeWithCells="1">
                  <from>
                    <xdr:col>3</xdr:col>
                    <xdr:colOff>9525</xdr:colOff>
                    <xdr:row>5</xdr:row>
                    <xdr:rowOff>9525</xdr:rowOff>
                  </from>
                  <to>
                    <xdr:col>3</xdr:col>
                    <xdr:colOff>304800</xdr:colOff>
                    <xdr:row>6</xdr:row>
                    <xdr:rowOff>180975</xdr:rowOff>
                  </to>
                </anchor>
              </controlPr>
            </control>
          </mc:Choice>
        </mc:AlternateContent>
        <mc:AlternateContent xmlns:mc="http://schemas.openxmlformats.org/markup-compatibility/2006">
          <mc:Choice Requires="x14">
            <control shapeId="4121" r:id="rId20" name="Spinner 25">
              <controlPr defaultSize="0" autoPict="0">
                <anchor moveWithCells="1" sizeWithCells="1">
                  <from>
                    <xdr:col>3</xdr:col>
                    <xdr:colOff>9525</xdr:colOff>
                    <xdr:row>7</xdr:row>
                    <xdr:rowOff>9525</xdr:rowOff>
                  </from>
                  <to>
                    <xdr:col>3</xdr:col>
                    <xdr:colOff>304800</xdr:colOff>
                    <xdr:row>8</xdr:row>
                    <xdr:rowOff>180975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EC8997AB-9D0E-49BF-B6F0-3FD5814B0A7C}">
            <xm:f>Übersicht!$B$45&lt;Übersicht!$B$47</xm:f>
            <x14:dxf>
              <font>
                <color theme="1"/>
              </font>
              <fill>
                <patternFill>
                  <bgColor theme="1"/>
                </patternFill>
              </fill>
            </x14:dxf>
          </x14:cfRule>
          <xm:sqref>B4:C5 E4:I5 B6:I11 B12 D12:I12 L12:M12 B13:I24</xm:sqref>
        </x14:conditionalFormatting>
        <x14:conditionalFormatting xmlns:xm="http://schemas.microsoft.com/office/excel/2006/main">
          <x14:cfRule type="expression" priority="8" id="{83D98F60-2023-41B5-82FE-19CB4EB28F09}">
            <xm:f>Übersicht!$B$45&lt;Übersicht!$B$47</xm:f>
            <x14:dxf>
              <font>
                <color theme="1"/>
              </font>
              <fill>
                <patternFill>
                  <bgColor theme="1"/>
                </patternFill>
              </fill>
            </x14:dxf>
          </x14:cfRule>
          <xm:sqref>C12</xm:sqref>
        </x14:conditionalFormatting>
        <x14:conditionalFormatting xmlns:xm="http://schemas.microsoft.com/office/excel/2006/main">
          <x14:cfRule type="expression" priority="6" id="{DF6F56E2-630E-4ECA-A82E-37DE583EE679}">
            <xm:f>Übersicht!$B$45&lt;Übersicht!$B$47</xm:f>
            <x14:dxf>
              <font>
                <color theme="1"/>
              </font>
              <fill>
                <patternFill>
                  <bgColor theme="1"/>
                </patternFill>
              </fill>
            </x14:dxf>
          </x14:cfRule>
          <xm:sqref>B25:B26</xm:sqref>
        </x14:conditionalFormatting>
        <x14:conditionalFormatting xmlns:xm="http://schemas.microsoft.com/office/excel/2006/main">
          <x14:cfRule type="expression" priority="5" id="{8283FDE1-B538-4D48-8F7B-EB2C0475F8B5}">
            <xm:f>Übersicht!$B$45&lt;Übersicht!$B$47</xm:f>
            <x14:dxf>
              <font>
                <color theme="1"/>
              </font>
              <fill>
                <patternFill>
                  <bgColor theme="1"/>
                </patternFill>
              </fill>
            </x14:dxf>
          </x14:cfRule>
          <xm:sqref>F25:F26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32"/>
  <sheetViews>
    <sheetView showGridLines="0" workbookViewId="0">
      <selection activeCell="C4" sqref="C4:D4"/>
    </sheetView>
  </sheetViews>
  <sheetFormatPr baseColWidth="10" defaultRowHeight="14.25" x14ac:dyDescent="0.2"/>
  <cols>
    <col min="1" max="1" width="11.42578125" style="94"/>
    <col min="2" max="2" width="16.7109375" style="94" customWidth="1"/>
    <col min="3" max="3" width="12.7109375" style="94" customWidth="1"/>
    <col min="4" max="4" width="4.7109375" style="94" customWidth="1"/>
    <col min="5" max="5" width="11.7109375" style="94" customWidth="1"/>
    <col min="6" max="6" width="4.7109375" style="94" customWidth="1"/>
    <col min="7" max="7" width="15.7109375" style="279" customWidth="1"/>
    <col min="8" max="9" width="15.7109375" style="94" customWidth="1"/>
    <col min="10" max="10" width="18.28515625" style="94" customWidth="1"/>
    <col min="11" max="11" width="7.7109375" style="279" hidden="1" customWidth="1"/>
    <col min="12" max="12" width="11.85546875" style="279" hidden="1" customWidth="1"/>
    <col min="13" max="15" width="14.140625" style="279" hidden="1" customWidth="1"/>
    <col min="16" max="16384" width="11.42578125" style="279"/>
  </cols>
  <sheetData>
    <row r="1" spans="1:40" s="94" customFormat="1" ht="15" customHeight="1" x14ac:dyDescent="0.2">
      <c r="A1" s="92"/>
      <c r="B1" s="92"/>
      <c r="C1" s="92"/>
      <c r="D1" s="93"/>
      <c r="E1" s="92"/>
      <c r="F1" s="92"/>
      <c r="H1" s="92"/>
      <c r="I1" s="93"/>
      <c r="K1" s="96"/>
      <c r="L1" s="95"/>
    </row>
    <row r="2" spans="1:40" s="92" customFormat="1" ht="40.5" customHeight="1" x14ac:dyDescent="0.25">
      <c r="A2" s="97"/>
      <c r="B2" s="431" t="s">
        <v>49</v>
      </c>
      <c r="C2" s="431"/>
      <c r="D2" s="431"/>
      <c r="E2" s="441" t="s">
        <v>130</v>
      </c>
      <c r="F2" s="441"/>
      <c r="G2" s="441"/>
      <c r="H2" s="441"/>
      <c r="I2" s="260"/>
      <c r="K2" s="95"/>
      <c r="L2" s="95"/>
      <c r="AK2" s="94"/>
      <c r="AL2" s="94"/>
      <c r="AM2" s="94"/>
      <c r="AN2" s="94"/>
    </row>
    <row r="3" spans="1:40" s="99" customFormat="1" ht="15" customHeight="1" x14ac:dyDescent="0.2">
      <c r="A3" s="97"/>
      <c r="B3" s="432"/>
      <c r="C3" s="432"/>
      <c r="D3" s="98"/>
      <c r="E3" s="134"/>
      <c r="F3" s="134"/>
      <c r="H3" s="208"/>
      <c r="I3" s="98"/>
      <c r="K3" s="101"/>
      <c r="L3" s="100"/>
      <c r="P3" s="92"/>
    </row>
    <row r="4" spans="1:40" s="99" customFormat="1" ht="30" customHeight="1" x14ac:dyDescent="0.2">
      <c r="A4" s="97"/>
      <c r="B4" s="129" t="s">
        <v>83</v>
      </c>
      <c r="C4" s="462">
        <v>2</v>
      </c>
      <c r="D4" s="463"/>
      <c r="E4" s="265"/>
      <c r="G4" s="266" t="s">
        <v>123</v>
      </c>
      <c r="H4" s="270" t="str">
        <f>M15</f>
        <v>Energiebedarf</v>
      </c>
      <c r="I4" s="270" t="s">
        <v>122</v>
      </c>
      <c r="L4" s="101"/>
    </row>
    <row r="5" spans="1:40" s="99" customFormat="1" ht="30" customHeight="1" x14ac:dyDescent="0.2">
      <c r="A5" s="97"/>
      <c r="B5" s="129" t="s">
        <v>86</v>
      </c>
      <c r="C5" s="462">
        <v>9</v>
      </c>
      <c r="D5" s="463"/>
      <c r="E5" s="264"/>
      <c r="H5" s="271">
        <f t="shared" ref="H5:H13" si="0">M16</f>
        <v>177.828</v>
      </c>
      <c r="I5" s="271">
        <f>N16+O16</f>
        <v>162.42306307290102</v>
      </c>
      <c r="L5" s="101"/>
    </row>
    <row r="6" spans="1:40" s="99" customFormat="1" ht="15" customHeight="1" x14ac:dyDescent="0.2">
      <c r="A6" s="97"/>
      <c r="B6" s="442" t="s">
        <v>107</v>
      </c>
      <c r="C6" s="446">
        <f>K6/10</f>
        <v>3.4</v>
      </c>
      <c r="D6" s="452"/>
      <c r="E6" s="264"/>
      <c r="H6" s="271">
        <f t="shared" si="0"/>
        <v>184.39599999999999</v>
      </c>
      <c r="I6" s="271">
        <f t="shared" ref="I6:I13" si="1">N17+O17</f>
        <v>171.43997024323917</v>
      </c>
      <c r="K6" s="459">
        <v>34</v>
      </c>
      <c r="L6" s="101"/>
    </row>
    <row r="7" spans="1:40" s="99" customFormat="1" ht="15" customHeight="1" x14ac:dyDescent="0.2">
      <c r="A7" s="97"/>
      <c r="B7" s="443"/>
      <c r="C7" s="447"/>
      <c r="D7" s="452"/>
      <c r="E7" s="264"/>
      <c r="H7" s="271">
        <f t="shared" si="0"/>
        <v>181.11199999999999</v>
      </c>
      <c r="I7" s="271">
        <f t="shared" si="1"/>
        <v>172.77267131810808</v>
      </c>
      <c r="K7" s="459"/>
      <c r="L7" s="101"/>
    </row>
    <row r="8" spans="1:40" s="99" customFormat="1" ht="15" customHeight="1" x14ac:dyDescent="0.2">
      <c r="A8" s="97"/>
      <c r="B8" s="442" t="s">
        <v>108</v>
      </c>
      <c r="C8" s="448">
        <f>K8/10</f>
        <v>4</v>
      </c>
      <c r="D8" s="453"/>
      <c r="E8" s="264"/>
      <c r="H8" s="271">
        <f t="shared" si="0"/>
        <v>167.976</v>
      </c>
      <c r="I8" s="271">
        <f t="shared" si="1"/>
        <v>167.41996887598941</v>
      </c>
      <c r="K8" s="460">
        <v>40</v>
      </c>
      <c r="L8" s="101"/>
    </row>
    <row r="9" spans="1:40" s="99" customFormat="1" ht="15" customHeight="1" x14ac:dyDescent="0.2">
      <c r="A9" s="97"/>
      <c r="B9" s="443" t="s">
        <v>108</v>
      </c>
      <c r="C9" s="449"/>
      <c r="D9" s="454"/>
      <c r="E9" s="264"/>
      <c r="H9" s="271">
        <f t="shared" si="0"/>
        <v>154.84</v>
      </c>
      <c r="I9" s="271">
        <f t="shared" si="1"/>
        <v>155.43651596909672</v>
      </c>
      <c r="K9" s="461"/>
      <c r="L9" s="101"/>
    </row>
    <row r="10" spans="1:40" s="99" customFormat="1" ht="15" customHeight="1" x14ac:dyDescent="0.2">
      <c r="A10" s="97"/>
      <c r="B10" s="444" t="s">
        <v>63</v>
      </c>
      <c r="C10" s="450">
        <v>700</v>
      </c>
      <c r="D10" s="455"/>
      <c r="E10" s="264"/>
      <c r="H10" s="271">
        <f t="shared" si="0"/>
        <v>141.70399999999998</v>
      </c>
      <c r="I10" s="271">
        <f t="shared" si="1"/>
        <v>145.34037398536498</v>
      </c>
      <c r="K10" s="101"/>
      <c r="L10" s="101"/>
    </row>
    <row r="11" spans="1:40" s="94" customFormat="1" ht="15" customHeight="1" x14ac:dyDescent="0.2">
      <c r="B11" s="445"/>
      <c r="C11" s="451"/>
      <c r="D11" s="456"/>
      <c r="E11" s="264"/>
      <c r="F11" s="99"/>
      <c r="G11" s="264"/>
      <c r="H11" s="271">
        <f t="shared" si="0"/>
        <v>128.56799999999998</v>
      </c>
      <c r="I11" s="271">
        <f t="shared" si="1"/>
        <v>134.17387044135023</v>
      </c>
      <c r="K11" s="318" t="s">
        <v>164</v>
      </c>
      <c r="L11" s="318" t="s">
        <v>163</v>
      </c>
    </row>
    <row r="12" spans="1:40" s="94" customFormat="1" ht="30" customHeight="1" x14ac:dyDescent="0.2">
      <c r="A12" s="269"/>
      <c r="B12" s="104" t="s">
        <v>165</v>
      </c>
      <c r="C12" s="272">
        <f>K12/10</f>
        <v>7</v>
      </c>
      <c r="D12" s="105"/>
      <c r="E12" s="264"/>
      <c r="F12" s="99"/>
      <c r="G12" s="264"/>
      <c r="H12" s="271">
        <f t="shared" si="0"/>
        <v>108.864</v>
      </c>
      <c r="I12" s="271">
        <f t="shared" si="1"/>
        <v>122.19341005403261</v>
      </c>
      <c r="K12" s="283">
        <v>70</v>
      </c>
      <c r="L12" s="320">
        <f>C12/88*100</f>
        <v>7.9545454545454541</v>
      </c>
      <c r="M12" s="434" t="s">
        <v>167</v>
      </c>
      <c r="N12" s="435"/>
      <c r="O12" s="435"/>
    </row>
    <row r="13" spans="1:40" s="94" customFormat="1" ht="30" customHeight="1" x14ac:dyDescent="0.2">
      <c r="B13" s="104" t="s">
        <v>66</v>
      </c>
      <c r="C13" s="272">
        <f>K13/10</f>
        <v>6.7</v>
      </c>
      <c r="D13" s="105"/>
      <c r="E13" s="264"/>
      <c r="F13" s="99"/>
      <c r="G13" s="264"/>
      <c r="H13" s="271">
        <f t="shared" si="0"/>
        <v>99.012</v>
      </c>
      <c r="I13" s="271">
        <f t="shared" si="1"/>
        <v>121.38984306297884</v>
      </c>
      <c r="K13" s="283">
        <v>67</v>
      </c>
    </row>
    <row r="14" spans="1:40" s="94" customFormat="1" ht="15" customHeight="1" x14ac:dyDescent="0.2">
      <c r="A14" s="135"/>
      <c r="B14" s="135"/>
      <c r="C14" s="135"/>
      <c r="D14" s="103"/>
      <c r="E14" s="273"/>
      <c r="H14" s="103"/>
      <c r="I14" s="103"/>
      <c r="J14" s="103"/>
      <c r="K14" s="96"/>
      <c r="L14" s="95"/>
    </row>
    <row r="15" spans="1:40" s="274" customFormat="1" ht="30" customHeight="1" x14ac:dyDescent="0.2">
      <c r="A15" s="135"/>
      <c r="B15" s="136" t="s">
        <v>62</v>
      </c>
      <c r="C15" s="436" t="s">
        <v>87</v>
      </c>
      <c r="D15" s="437"/>
      <c r="E15" s="436" t="s">
        <v>166</v>
      </c>
      <c r="F15" s="440"/>
      <c r="G15" s="102" t="s">
        <v>121</v>
      </c>
      <c r="H15" s="102" t="s">
        <v>88</v>
      </c>
      <c r="I15" s="102" t="s">
        <v>176</v>
      </c>
      <c r="J15" s="262" t="s">
        <v>124</v>
      </c>
      <c r="L15" s="319" t="s">
        <v>163</v>
      </c>
      <c r="M15" s="275" t="s">
        <v>118</v>
      </c>
      <c r="N15" s="275" t="s">
        <v>119</v>
      </c>
      <c r="O15" s="275" t="s">
        <v>120</v>
      </c>
    </row>
    <row r="16" spans="1:40" ht="30" customHeight="1" x14ac:dyDescent="0.2">
      <c r="A16" s="261">
        <v>20</v>
      </c>
      <c r="B16" s="137">
        <v>20</v>
      </c>
      <c r="C16" s="438">
        <f>INDEX(Lakkurve!$O$6:$Y$14,MATCH(B16,Lakkurve!$A$6:$A$14,0),MATCH($C$5,Lakkurve!$O$4:$Y$4,0))</f>
        <v>42</v>
      </c>
      <c r="D16" s="439"/>
      <c r="E16" s="276">
        <f t="shared" ref="E16:E24" si="2">K16/10</f>
        <v>9</v>
      </c>
      <c r="F16" s="226"/>
      <c r="G16" s="339">
        <f>H16-(E16*88/100)</f>
        <v>14.839263145209104</v>
      </c>
      <c r="H16" s="278">
        <f>'F1'!O$35</f>
        <v>22.759263145209104</v>
      </c>
      <c r="I16" s="253">
        <f t="shared" ref="I16:I24" si="3">-M16+N16+O16</f>
        <v>-15.404936927099001</v>
      </c>
      <c r="J16" s="261">
        <v>-10</v>
      </c>
      <c r="K16" s="283">
        <v>90</v>
      </c>
      <c r="L16" s="330">
        <f>E16*0.88</f>
        <v>7.92</v>
      </c>
      <c r="M16" s="285">
        <f>Bedarf!$C$29+Bedarf!$H$29*C16</f>
        <v>177.828</v>
      </c>
      <c r="N16" s="286">
        <f>$C$12*E16</f>
        <v>63</v>
      </c>
      <c r="O16" s="287">
        <f>$C$13*G16</f>
        <v>99.423063072901002</v>
      </c>
    </row>
    <row r="17" spans="1:63" ht="30" customHeight="1" x14ac:dyDescent="0.2">
      <c r="A17" s="261">
        <v>20</v>
      </c>
      <c r="B17" s="137">
        <v>40</v>
      </c>
      <c r="C17" s="438">
        <f>INDEX(Lakkurve!$O$6:$Y$14,MATCH(B17,Lakkurve!$A$6:$A$14,0),MATCH($C$5,Lakkurve!$O$4:$Y$4,0))</f>
        <v>44</v>
      </c>
      <c r="D17" s="439"/>
      <c r="E17" s="276">
        <f t="shared" si="2"/>
        <v>10</v>
      </c>
      <c r="F17" s="226"/>
      <c r="G17" s="339">
        <f t="shared" ref="G17:G24" si="4">H17-(E17*88/100)</f>
        <v>15.1402940661551</v>
      </c>
      <c r="H17" s="278">
        <f>'F1'!P$35</f>
        <v>23.940294066155101</v>
      </c>
      <c r="I17" s="253">
        <f t="shared" si="3"/>
        <v>-12.956029756760813</v>
      </c>
      <c r="J17" s="261">
        <v>-10</v>
      </c>
      <c r="K17" s="283">
        <v>100</v>
      </c>
      <c r="L17" s="330">
        <f t="shared" ref="L17:L29" si="5">E17*0.88</f>
        <v>8.8000000000000007</v>
      </c>
      <c r="M17" s="285">
        <f>Bedarf!$C$29+Bedarf!$H$29*C17</f>
        <v>184.39599999999999</v>
      </c>
      <c r="N17" s="286">
        <f t="shared" ref="N17:N24" si="6">$C$12*E17</f>
        <v>70</v>
      </c>
      <c r="O17" s="287">
        <f t="shared" ref="O17:O24" si="7">$C$13*G17</f>
        <v>101.43997024323917</v>
      </c>
    </row>
    <row r="18" spans="1:63" ht="30" customHeight="1" x14ac:dyDescent="0.2">
      <c r="A18" s="261">
        <v>40</v>
      </c>
      <c r="B18" s="137">
        <v>60</v>
      </c>
      <c r="C18" s="438">
        <f>INDEX(Lakkurve!$O$6:$Y$14,MATCH(B18,Lakkurve!$A$6:$A$14,0),MATCH($C$5,Lakkurve!$O$4:$Y$4,0))</f>
        <v>43</v>
      </c>
      <c r="D18" s="439"/>
      <c r="E18" s="276">
        <f t="shared" si="2"/>
        <v>10</v>
      </c>
      <c r="F18" s="226"/>
      <c r="G18" s="339">
        <f t="shared" si="4"/>
        <v>15.33920467434449</v>
      </c>
      <c r="H18" s="278">
        <f>'F1'!Q$35</f>
        <v>24.139204674344491</v>
      </c>
      <c r="I18" s="253">
        <f t="shared" si="3"/>
        <v>-8.3393286818919137</v>
      </c>
      <c r="J18" s="261">
        <v>-10</v>
      </c>
      <c r="K18" s="283">
        <v>100</v>
      </c>
      <c r="L18" s="330">
        <f t="shared" si="5"/>
        <v>8.8000000000000007</v>
      </c>
      <c r="M18" s="285">
        <f>Bedarf!$C$29+Bedarf!$H$29*C18</f>
        <v>181.11199999999999</v>
      </c>
      <c r="N18" s="286">
        <f t="shared" si="6"/>
        <v>70</v>
      </c>
      <c r="O18" s="287">
        <f t="shared" si="7"/>
        <v>102.77267131810808</v>
      </c>
    </row>
    <row r="19" spans="1:63" ht="30" customHeight="1" x14ac:dyDescent="0.2">
      <c r="A19" s="261">
        <v>50</v>
      </c>
      <c r="B19" s="137">
        <v>100</v>
      </c>
      <c r="C19" s="438">
        <f>INDEX(Lakkurve!$O$6:$Y$14,MATCH(B19,Lakkurve!$A$6:$A$14,0),MATCH($C$5,Lakkurve!$O$4:$Y$4,0))</f>
        <v>39</v>
      </c>
      <c r="D19" s="439"/>
      <c r="E19" s="276">
        <f t="shared" si="2"/>
        <v>9</v>
      </c>
      <c r="F19" s="226"/>
      <c r="G19" s="339">
        <f t="shared" si="4"/>
        <v>15.585069981490955</v>
      </c>
      <c r="H19" s="278">
        <f>'F1'!R$35</f>
        <v>23.505069981490955</v>
      </c>
      <c r="I19" s="253">
        <f t="shared" si="3"/>
        <v>-0.55603112401060173</v>
      </c>
      <c r="J19" s="261">
        <f>0</f>
        <v>0</v>
      </c>
      <c r="K19" s="283">
        <v>90</v>
      </c>
      <c r="L19" s="330">
        <f t="shared" si="5"/>
        <v>7.92</v>
      </c>
      <c r="M19" s="285">
        <f>Bedarf!$C$29+Bedarf!$H$29*C19</f>
        <v>167.976</v>
      </c>
      <c r="N19" s="286">
        <f t="shared" si="6"/>
        <v>63</v>
      </c>
      <c r="O19" s="287">
        <f t="shared" si="7"/>
        <v>104.4199688759894</v>
      </c>
    </row>
    <row r="20" spans="1:63" ht="30" customHeight="1" x14ac:dyDescent="0.2">
      <c r="A20" s="261">
        <v>50</v>
      </c>
      <c r="B20" s="137">
        <v>150</v>
      </c>
      <c r="C20" s="438">
        <f>INDEX(Lakkurve!$O$6:$Y$14,MATCH(B20,Lakkurve!$A$6:$A$14,0),MATCH($C$5,Lakkurve!$O$4:$Y$4,0))</f>
        <v>35</v>
      </c>
      <c r="D20" s="439"/>
      <c r="E20" s="276">
        <f t="shared" si="2"/>
        <v>6.5</v>
      </c>
      <c r="F20" s="226"/>
      <c r="G20" s="339">
        <f t="shared" si="4"/>
        <v>16.408435219268167</v>
      </c>
      <c r="H20" s="278">
        <f>'F1'!S$35</f>
        <v>22.128435219268166</v>
      </c>
      <c r="I20" s="253">
        <f t="shared" si="3"/>
        <v>0.59651596909671412</v>
      </c>
      <c r="J20" s="261">
        <f>0</f>
        <v>0</v>
      </c>
      <c r="K20" s="283">
        <v>65</v>
      </c>
      <c r="L20" s="330">
        <f t="shared" si="5"/>
        <v>5.72</v>
      </c>
      <c r="M20" s="285">
        <f>Bedarf!$C$29+Bedarf!$H$29*C20</f>
        <v>154.84</v>
      </c>
      <c r="N20" s="286">
        <f t="shared" si="6"/>
        <v>45.5</v>
      </c>
      <c r="O20" s="287">
        <f>$C$13*G20</f>
        <v>109.93651596909672</v>
      </c>
    </row>
    <row r="21" spans="1:63" ht="30" customHeight="1" x14ac:dyDescent="0.2">
      <c r="A21" s="261">
        <v>50</v>
      </c>
      <c r="B21" s="137">
        <v>200</v>
      </c>
      <c r="C21" s="438">
        <f>INDEX(Lakkurve!$O$6:$Y$14,MATCH(B21,Lakkurve!$A$6:$A$14,0),MATCH($C$5,Lakkurve!$O$4:$Y$4,0))</f>
        <v>31</v>
      </c>
      <c r="D21" s="439"/>
      <c r="E21" s="276">
        <f t="shared" si="2"/>
        <v>4.5</v>
      </c>
      <c r="F21" s="226"/>
      <c r="G21" s="339">
        <f t="shared" si="4"/>
        <v>16.991100594830595</v>
      </c>
      <c r="H21" s="278">
        <f>'F1'!T$35</f>
        <v>20.951100594830596</v>
      </c>
      <c r="I21" s="253">
        <f t="shared" si="3"/>
        <v>3.6363739853650117</v>
      </c>
      <c r="J21" s="261">
        <v>0</v>
      </c>
      <c r="K21" s="283">
        <v>45</v>
      </c>
      <c r="L21" s="330">
        <f t="shared" si="5"/>
        <v>3.96</v>
      </c>
      <c r="M21" s="285">
        <f>Bedarf!$C$29+Bedarf!$H$29*C21</f>
        <v>141.70399999999998</v>
      </c>
      <c r="N21" s="286">
        <f t="shared" si="6"/>
        <v>31.5</v>
      </c>
      <c r="O21" s="287">
        <f t="shared" si="7"/>
        <v>113.84037398536499</v>
      </c>
    </row>
    <row r="22" spans="1:63" ht="30" customHeight="1" x14ac:dyDescent="0.2">
      <c r="A22" s="261">
        <v>50</v>
      </c>
      <c r="B22" s="137">
        <v>250</v>
      </c>
      <c r="C22" s="438">
        <f>INDEX(Lakkurve!$O$6:$Y$14,MATCH(B22,Lakkurve!$A$6:$A$14,0),MATCH($C$5,Lakkurve!$O$4:$Y$4,0))</f>
        <v>27</v>
      </c>
      <c r="D22" s="439"/>
      <c r="E22" s="276">
        <f t="shared" si="2"/>
        <v>2</v>
      </c>
      <c r="F22" s="226"/>
      <c r="G22" s="339">
        <f t="shared" si="4"/>
        <v>17.936398573335858</v>
      </c>
      <c r="H22" s="278">
        <f>'F1'!U$35</f>
        <v>19.696398573335859</v>
      </c>
      <c r="I22" s="253">
        <f t="shared" si="3"/>
        <v>5.6058704413502625</v>
      </c>
      <c r="J22" s="261">
        <v>0</v>
      </c>
      <c r="K22" s="283">
        <v>20</v>
      </c>
      <c r="L22" s="330">
        <f t="shared" si="5"/>
        <v>1.76</v>
      </c>
      <c r="M22" s="285">
        <f>Bedarf!$C$29+Bedarf!$H$29*C22</f>
        <v>128.56799999999998</v>
      </c>
      <c r="N22" s="286">
        <f t="shared" si="6"/>
        <v>14</v>
      </c>
      <c r="O22" s="287">
        <f t="shared" si="7"/>
        <v>120.17387044135025</v>
      </c>
    </row>
    <row r="23" spans="1:63" ht="30" customHeight="1" x14ac:dyDescent="0.2">
      <c r="A23" s="261">
        <v>50</v>
      </c>
      <c r="B23" s="137">
        <v>300</v>
      </c>
      <c r="C23" s="438">
        <f>INDEX(Lakkurve!$O$6:$Y$14,MATCH(B23,Lakkurve!$A$6:$A$14,0),MATCH($C$5,Lakkurve!$O$4:$Y$4,0))</f>
        <v>21</v>
      </c>
      <c r="D23" s="439"/>
      <c r="E23" s="276">
        <f t="shared" si="2"/>
        <v>0</v>
      </c>
      <c r="F23" s="226"/>
      <c r="G23" s="339">
        <f t="shared" si="4"/>
        <v>18.237822396124269</v>
      </c>
      <c r="H23" s="278">
        <f>'F1'!V$35</f>
        <v>18.237822396124269</v>
      </c>
      <c r="I23" s="253">
        <f t="shared" si="3"/>
        <v>13.329410054032607</v>
      </c>
      <c r="J23" s="261">
        <v>5</v>
      </c>
      <c r="K23" s="283">
        <v>0</v>
      </c>
      <c r="L23" s="330">
        <f t="shared" si="5"/>
        <v>0</v>
      </c>
      <c r="M23" s="285">
        <f>Bedarf!$C$29+Bedarf!$H$29*C23</f>
        <v>108.864</v>
      </c>
      <c r="N23" s="286">
        <f t="shared" si="6"/>
        <v>0</v>
      </c>
      <c r="O23" s="287">
        <f t="shared" si="7"/>
        <v>122.19341005403261</v>
      </c>
    </row>
    <row r="24" spans="1:63" ht="30" customHeight="1" x14ac:dyDescent="0.2">
      <c r="A24" s="261">
        <v>50</v>
      </c>
      <c r="B24" s="137">
        <v>350</v>
      </c>
      <c r="C24" s="438">
        <f>INDEX(Lakkurve!$O$6:$Y$14,MATCH(B24,Lakkurve!$A$6:$A$14,0),MATCH($C$5,Lakkurve!$O$4:$Y$4,0))</f>
        <v>18</v>
      </c>
      <c r="D24" s="439"/>
      <c r="E24" s="276">
        <f t="shared" si="2"/>
        <v>0</v>
      </c>
      <c r="F24" s="226"/>
      <c r="G24" s="339">
        <f t="shared" si="4"/>
        <v>18.117887024325199</v>
      </c>
      <c r="H24" s="278">
        <f>'F1'!W$35</f>
        <v>18.117887024325199</v>
      </c>
      <c r="I24" s="253">
        <f t="shared" si="3"/>
        <v>22.37784306297884</v>
      </c>
      <c r="J24" s="261">
        <v>5</v>
      </c>
      <c r="K24" s="283">
        <v>0</v>
      </c>
      <c r="L24" s="330">
        <f t="shared" si="5"/>
        <v>0</v>
      </c>
      <c r="M24" s="285">
        <f>Bedarf!$C$29+Bedarf!$H$29*C24</f>
        <v>99.012</v>
      </c>
      <c r="N24" s="286">
        <f t="shared" si="6"/>
        <v>0</v>
      </c>
      <c r="O24" s="287">
        <f t="shared" si="7"/>
        <v>121.38984306297884</v>
      </c>
    </row>
    <row r="25" spans="1:63" x14ac:dyDescent="0.2">
      <c r="B25" s="329" t="s">
        <v>170</v>
      </c>
      <c r="E25" s="324"/>
      <c r="F25" s="329" t="s">
        <v>174</v>
      </c>
      <c r="L25" s="330">
        <f t="shared" si="5"/>
        <v>0</v>
      </c>
    </row>
    <row r="26" spans="1:63" x14ac:dyDescent="0.2">
      <c r="B26" s="329"/>
      <c r="E26" s="331"/>
      <c r="F26" s="329" t="s">
        <v>177</v>
      </c>
      <c r="L26" s="330"/>
    </row>
    <row r="27" spans="1:63" s="143" customFormat="1" ht="11.25" customHeight="1" x14ac:dyDescent="0.2">
      <c r="A27" s="138"/>
      <c r="B27" s="139" t="s">
        <v>89</v>
      </c>
      <c r="C27" s="140"/>
      <c r="D27" s="140"/>
      <c r="E27" s="140"/>
      <c r="F27" s="140"/>
      <c r="G27" s="140"/>
      <c r="H27" s="140"/>
      <c r="I27" s="140"/>
      <c r="J27" s="150"/>
      <c r="K27" s="142"/>
      <c r="L27" s="330">
        <f t="shared" si="5"/>
        <v>0</v>
      </c>
      <c r="M27" s="142"/>
      <c r="N27" s="142"/>
      <c r="O27" s="142"/>
      <c r="P27" s="142"/>
      <c r="Q27" s="142"/>
      <c r="R27" s="142"/>
    </row>
    <row r="28" spans="1:63" s="147" customFormat="1" ht="11.25" customHeight="1" x14ac:dyDescent="0.2">
      <c r="A28" s="144"/>
      <c r="B28" s="145" t="s">
        <v>90</v>
      </c>
      <c r="C28" s="146"/>
      <c r="D28" s="146"/>
      <c r="E28" s="146"/>
      <c r="F28" s="146"/>
      <c r="G28" s="146"/>
      <c r="H28" s="146"/>
      <c r="I28" s="146"/>
      <c r="J28" s="150"/>
      <c r="K28" s="94"/>
      <c r="L28" s="330">
        <f t="shared" si="5"/>
        <v>0</v>
      </c>
      <c r="M28" s="94"/>
      <c r="N28" s="94"/>
      <c r="O28" s="94"/>
      <c r="P28" s="94"/>
      <c r="Q28" s="94"/>
      <c r="R28" s="94"/>
    </row>
    <row r="29" spans="1:63" s="147" customFormat="1" ht="11.25" customHeight="1" x14ac:dyDescent="0.2">
      <c r="A29" s="144"/>
      <c r="B29" s="148" t="s">
        <v>91</v>
      </c>
      <c r="C29" s="149"/>
      <c r="D29" s="149"/>
      <c r="E29" s="149"/>
      <c r="F29" s="149"/>
      <c r="G29" s="149"/>
      <c r="H29" s="149"/>
      <c r="I29" s="149"/>
      <c r="J29" s="150"/>
      <c r="K29" s="94"/>
      <c r="L29" s="330">
        <f t="shared" si="5"/>
        <v>0</v>
      </c>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Z29" s="94"/>
      <c r="BA29" s="94"/>
      <c r="BB29" s="94"/>
      <c r="BC29" s="94"/>
      <c r="BD29" s="94"/>
      <c r="BE29" s="94"/>
      <c r="BF29" s="94"/>
      <c r="BG29" s="94"/>
      <c r="BH29" s="94"/>
      <c r="BI29" s="94"/>
      <c r="BJ29" s="94"/>
      <c r="BK29" s="94"/>
    </row>
    <row r="30" spans="1:63" x14ac:dyDescent="0.2">
      <c r="L30" s="150"/>
    </row>
    <row r="31" spans="1:63" ht="30" customHeight="1" x14ac:dyDescent="0.2"/>
    <row r="32" spans="1:63" ht="30" customHeight="1" x14ac:dyDescent="0.2">
      <c r="A32" s="279"/>
      <c r="B32" s="279"/>
      <c r="C32" s="279"/>
      <c r="D32" s="279"/>
      <c r="E32" s="279"/>
      <c r="F32" s="279"/>
      <c r="H32" s="279"/>
      <c r="I32" s="279"/>
      <c r="J32" s="279"/>
    </row>
  </sheetData>
  <sheetProtection password="CF35" sheet="1" objects="1" scenarios="1" insertHyperlinks="0" selectLockedCells="1"/>
  <mergeCells count="28">
    <mergeCell ref="C22:D22"/>
    <mergeCell ref="C23:D23"/>
    <mergeCell ref="C24:D24"/>
    <mergeCell ref="C4:D4"/>
    <mergeCell ref="C5:D5"/>
    <mergeCell ref="C20:D20"/>
    <mergeCell ref="C21:D21"/>
    <mergeCell ref="C16:D16"/>
    <mergeCell ref="C17:D17"/>
    <mergeCell ref="C18:D18"/>
    <mergeCell ref="C19:D19"/>
    <mergeCell ref="E15:F15"/>
    <mergeCell ref="C15:D15"/>
    <mergeCell ref="B2:D2"/>
    <mergeCell ref="B3:C3"/>
    <mergeCell ref="B10:B11"/>
    <mergeCell ref="C10:C11"/>
    <mergeCell ref="D10:D11"/>
    <mergeCell ref="B8:B9"/>
    <mergeCell ref="C8:C9"/>
    <mergeCell ref="D8:D9"/>
    <mergeCell ref="M12:O12"/>
    <mergeCell ref="E2:H2"/>
    <mergeCell ref="B6:B7"/>
    <mergeCell ref="C6:C7"/>
    <mergeCell ref="D6:D7"/>
    <mergeCell ref="K6:K7"/>
    <mergeCell ref="K8:K9"/>
  </mergeCells>
  <conditionalFormatting sqref="E16">
    <cfRule type="expression" dxfId="102" priority="32">
      <formula>E16*0.88&gt;H16/2</formula>
    </cfRule>
  </conditionalFormatting>
  <conditionalFormatting sqref="I16">
    <cfRule type="expression" dxfId="101" priority="30">
      <formula>I16&lt;J16</formula>
    </cfRule>
  </conditionalFormatting>
  <conditionalFormatting sqref="I17:I18">
    <cfRule type="expression" dxfId="100" priority="29">
      <formula>I17&lt;J17</formula>
    </cfRule>
  </conditionalFormatting>
  <conditionalFormatting sqref="I19:I22">
    <cfRule type="expression" dxfId="99" priority="28">
      <formula>I19&lt;J19</formula>
    </cfRule>
  </conditionalFormatting>
  <conditionalFormatting sqref="I19:I22">
    <cfRule type="expression" dxfId="98" priority="24">
      <formula>I19&lt;J19</formula>
    </cfRule>
  </conditionalFormatting>
  <conditionalFormatting sqref="I23">
    <cfRule type="expression" dxfId="97" priority="23">
      <formula>I23&gt;J23</formula>
    </cfRule>
  </conditionalFormatting>
  <conditionalFormatting sqref="I24">
    <cfRule type="expression" dxfId="96" priority="22">
      <formula>I24&gt;J24</formula>
    </cfRule>
  </conditionalFormatting>
  <conditionalFormatting sqref="M12">
    <cfRule type="expression" dxfId="95" priority="18">
      <formula>#REF!&lt;#REF!</formula>
    </cfRule>
  </conditionalFormatting>
  <conditionalFormatting sqref="L12">
    <cfRule type="expression" dxfId="94" priority="14">
      <formula>#REF!&lt;#REF!</formula>
    </cfRule>
  </conditionalFormatting>
  <conditionalFormatting sqref="G16:G24">
    <cfRule type="expression" dxfId="93" priority="10">
      <formula>#REF!&lt;#REF!</formula>
    </cfRule>
  </conditionalFormatting>
  <conditionalFormatting sqref="B25:B26">
    <cfRule type="expression" dxfId="92" priority="8">
      <formula>#REF!&lt;#REF!</formula>
    </cfRule>
  </conditionalFormatting>
  <conditionalFormatting sqref="I15">
    <cfRule type="expression" dxfId="91" priority="5">
      <formula>#REF!&lt;#REF!</formula>
    </cfRule>
  </conditionalFormatting>
  <conditionalFormatting sqref="E17:E24">
    <cfRule type="expression" dxfId="90" priority="1">
      <formula>E17*0.88&gt;H17/2</formula>
    </cfRule>
  </conditionalFormatting>
  <hyperlinks>
    <hyperlink ref="B27" r:id="rId1" display="© Copyright: Möller Agrarmarketing e.K."/>
  </hyperlinks>
  <printOptions horizontalCentered="1"/>
  <pageMargins left="0.70866141732283472" right="0.70866141732283472" top="0.78740157480314965" bottom="0.78740157480314965" header="0.31496062992125984" footer="0.31496062992125984"/>
  <pageSetup paperSize="9" scale="8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209" r:id="rId5" name="Drop Down 17">
              <controlPr defaultSize="0" autoLine="0" autoPict="0">
                <anchor moveWithCells="1" sizeWithCells="1">
                  <from>
                    <xdr:col>2</xdr:col>
                    <xdr:colOff>19050</xdr:colOff>
                    <xdr:row>3</xdr:row>
                    <xdr:rowOff>19050</xdr:rowOff>
                  </from>
                  <to>
                    <xdr:col>3</xdr:col>
                    <xdr:colOff>295275</xdr:colOff>
                    <xdr:row>3</xdr:row>
                    <xdr:rowOff>371475</xdr:rowOff>
                  </to>
                </anchor>
              </controlPr>
            </control>
          </mc:Choice>
        </mc:AlternateContent>
        <mc:AlternateContent xmlns:mc="http://schemas.openxmlformats.org/markup-compatibility/2006">
          <mc:Choice Requires="x14">
            <control shapeId="8210" r:id="rId6" name="Spinner 18">
              <controlPr defaultSize="0" autoPict="0">
                <anchor moveWithCells="1" sizeWithCells="1">
                  <from>
                    <xdr:col>3</xdr:col>
                    <xdr:colOff>9525</xdr:colOff>
                    <xdr:row>9</xdr:row>
                    <xdr:rowOff>9525</xdr:rowOff>
                  </from>
                  <to>
                    <xdr:col>3</xdr:col>
                    <xdr:colOff>304800</xdr:colOff>
                    <xdr:row>10</xdr:row>
                    <xdr:rowOff>180975</xdr:rowOff>
                  </to>
                </anchor>
              </controlPr>
            </control>
          </mc:Choice>
        </mc:AlternateContent>
        <mc:AlternateContent xmlns:mc="http://schemas.openxmlformats.org/markup-compatibility/2006">
          <mc:Choice Requires="x14">
            <control shapeId="8211" r:id="rId7" name="Drop Down 19">
              <controlPr defaultSize="0" autoLine="0" autoPict="0">
                <anchor moveWithCells="1" sizeWithCells="1">
                  <from>
                    <xdr:col>2</xdr:col>
                    <xdr:colOff>19050</xdr:colOff>
                    <xdr:row>4</xdr:row>
                    <xdr:rowOff>9525</xdr:rowOff>
                  </from>
                  <to>
                    <xdr:col>3</xdr:col>
                    <xdr:colOff>295275</xdr:colOff>
                    <xdr:row>4</xdr:row>
                    <xdr:rowOff>361950</xdr:rowOff>
                  </to>
                </anchor>
              </controlPr>
            </control>
          </mc:Choice>
        </mc:AlternateContent>
        <mc:AlternateContent xmlns:mc="http://schemas.openxmlformats.org/markup-compatibility/2006">
          <mc:Choice Requires="x14">
            <control shapeId="8212" r:id="rId8" name="Spinner 20">
              <controlPr defaultSize="0" autoPict="0">
                <anchor moveWithCells="1" sizeWithCells="1">
                  <from>
                    <xdr:col>5</xdr:col>
                    <xdr:colOff>9525</xdr:colOff>
                    <xdr:row>15</xdr:row>
                    <xdr:rowOff>9525</xdr:rowOff>
                  </from>
                  <to>
                    <xdr:col>5</xdr:col>
                    <xdr:colOff>304800</xdr:colOff>
                    <xdr:row>15</xdr:row>
                    <xdr:rowOff>371475</xdr:rowOff>
                  </to>
                </anchor>
              </controlPr>
            </control>
          </mc:Choice>
        </mc:AlternateContent>
        <mc:AlternateContent xmlns:mc="http://schemas.openxmlformats.org/markup-compatibility/2006">
          <mc:Choice Requires="x14">
            <control shapeId="8213" r:id="rId9" name="Spinner 21">
              <controlPr defaultSize="0" autoPict="0">
                <anchor moveWithCells="1" sizeWithCells="1">
                  <from>
                    <xdr:col>3</xdr:col>
                    <xdr:colOff>9525</xdr:colOff>
                    <xdr:row>11</xdr:row>
                    <xdr:rowOff>9525</xdr:rowOff>
                  </from>
                  <to>
                    <xdr:col>3</xdr:col>
                    <xdr:colOff>304800</xdr:colOff>
                    <xdr:row>11</xdr:row>
                    <xdr:rowOff>371475</xdr:rowOff>
                  </to>
                </anchor>
              </controlPr>
            </control>
          </mc:Choice>
        </mc:AlternateContent>
        <mc:AlternateContent xmlns:mc="http://schemas.openxmlformats.org/markup-compatibility/2006">
          <mc:Choice Requires="x14">
            <control shapeId="8214" r:id="rId10" name="Spinner 22">
              <controlPr defaultSize="0" autoPict="0">
                <anchor moveWithCells="1" sizeWithCells="1">
                  <from>
                    <xdr:col>3</xdr:col>
                    <xdr:colOff>9525</xdr:colOff>
                    <xdr:row>12</xdr:row>
                    <xdr:rowOff>9525</xdr:rowOff>
                  </from>
                  <to>
                    <xdr:col>3</xdr:col>
                    <xdr:colOff>304800</xdr:colOff>
                    <xdr:row>12</xdr:row>
                    <xdr:rowOff>371475</xdr:rowOff>
                  </to>
                </anchor>
              </controlPr>
            </control>
          </mc:Choice>
        </mc:AlternateContent>
        <mc:AlternateContent xmlns:mc="http://schemas.openxmlformats.org/markup-compatibility/2006">
          <mc:Choice Requires="x14">
            <control shapeId="8215" r:id="rId11" name="Spinner 23">
              <controlPr defaultSize="0" autoPict="0">
                <anchor moveWithCells="1" sizeWithCells="1">
                  <from>
                    <xdr:col>5</xdr:col>
                    <xdr:colOff>9525</xdr:colOff>
                    <xdr:row>16</xdr:row>
                    <xdr:rowOff>9525</xdr:rowOff>
                  </from>
                  <to>
                    <xdr:col>5</xdr:col>
                    <xdr:colOff>304800</xdr:colOff>
                    <xdr:row>16</xdr:row>
                    <xdr:rowOff>371475</xdr:rowOff>
                  </to>
                </anchor>
              </controlPr>
            </control>
          </mc:Choice>
        </mc:AlternateContent>
        <mc:AlternateContent xmlns:mc="http://schemas.openxmlformats.org/markup-compatibility/2006">
          <mc:Choice Requires="x14">
            <control shapeId="8216" r:id="rId12" name="Spinner 24">
              <controlPr defaultSize="0" autoPict="0">
                <anchor moveWithCells="1" sizeWithCells="1">
                  <from>
                    <xdr:col>5</xdr:col>
                    <xdr:colOff>9525</xdr:colOff>
                    <xdr:row>17</xdr:row>
                    <xdr:rowOff>9525</xdr:rowOff>
                  </from>
                  <to>
                    <xdr:col>5</xdr:col>
                    <xdr:colOff>304800</xdr:colOff>
                    <xdr:row>17</xdr:row>
                    <xdr:rowOff>371475</xdr:rowOff>
                  </to>
                </anchor>
              </controlPr>
            </control>
          </mc:Choice>
        </mc:AlternateContent>
        <mc:AlternateContent xmlns:mc="http://schemas.openxmlformats.org/markup-compatibility/2006">
          <mc:Choice Requires="x14">
            <control shapeId="8217" r:id="rId13" name="Spinner 25">
              <controlPr defaultSize="0" autoPict="0">
                <anchor moveWithCells="1" sizeWithCells="1">
                  <from>
                    <xdr:col>5</xdr:col>
                    <xdr:colOff>9525</xdr:colOff>
                    <xdr:row>18</xdr:row>
                    <xdr:rowOff>9525</xdr:rowOff>
                  </from>
                  <to>
                    <xdr:col>5</xdr:col>
                    <xdr:colOff>304800</xdr:colOff>
                    <xdr:row>18</xdr:row>
                    <xdr:rowOff>371475</xdr:rowOff>
                  </to>
                </anchor>
              </controlPr>
            </control>
          </mc:Choice>
        </mc:AlternateContent>
        <mc:AlternateContent xmlns:mc="http://schemas.openxmlformats.org/markup-compatibility/2006">
          <mc:Choice Requires="x14">
            <control shapeId="8218" r:id="rId14" name="Spinner 26">
              <controlPr defaultSize="0" autoPict="0">
                <anchor moveWithCells="1" sizeWithCells="1">
                  <from>
                    <xdr:col>5</xdr:col>
                    <xdr:colOff>9525</xdr:colOff>
                    <xdr:row>19</xdr:row>
                    <xdr:rowOff>9525</xdr:rowOff>
                  </from>
                  <to>
                    <xdr:col>5</xdr:col>
                    <xdr:colOff>304800</xdr:colOff>
                    <xdr:row>19</xdr:row>
                    <xdr:rowOff>371475</xdr:rowOff>
                  </to>
                </anchor>
              </controlPr>
            </control>
          </mc:Choice>
        </mc:AlternateContent>
        <mc:AlternateContent xmlns:mc="http://schemas.openxmlformats.org/markup-compatibility/2006">
          <mc:Choice Requires="x14">
            <control shapeId="8219" r:id="rId15" name="Spinner 27">
              <controlPr defaultSize="0" autoPict="0">
                <anchor moveWithCells="1" sizeWithCells="1">
                  <from>
                    <xdr:col>5</xdr:col>
                    <xdr:colOff>9525</xdr:colOff>
                    <xdr:row>20</xdr:row>
                    <xdr:rowOff>9525</xdr:rowOff>
                  </from>
                  <to>
                    <xdr:col>5</xdr:col>
                    <xdr:colOff>304800</xdr:colOff>
                    <xdr:row>20</xdr:row>
                    <xdr:rowOff>371475</xdr:rowOff>
                  </to>
                </anchor>
              </controlPr>
            </control>
          </mc:Choice>
        </mc:AlternateContent>
        <mc:AlternateContent xmlns:mc="http://schemas.openxmlformats.org/markup-compatibility/2006">
          <mc:Choice Requires="x14">
            <control shapeId="8220" r:id="rId16" name="Spinner 28">
              <controlPr defaultSize="0" autoPict="0">
                <anchor moveWithCells="1" sizeWithCells="1">
                  <from>
                    <xdr:col>5</xdr:col>
                    <xdr:colOff>9525</xdr:colOff>
                    <xdr:row>21</xdr:row>
                    <xdr:rowOff>9525</xdr:rowOff>
                  </from>
                  <to>
                    <xdr:col>5</xdr:col>
                    <xdr:colOff>304800</xdr:colOff>
                    <xdr:row>21</xdr:row>
                    <xdr:rowOff>371475</xdr:rowOff>
                  </to>
                </anchor>
              </controlPr>
            </control>
          </mc:Choice>
        </mc:AlternateContent>
        <mc:AlternateContent xmlns:mc="http://schemas.openxmlformats.org/markup-compatibility/2006">
          <mc:Choice Requires="x14">
            <control shapeId="8221" r:id="rId17" name="Spinner 29">
              <controlPr defaultSize="0" autoPict="0">
                <anchor moveWithCells="1" sizeWithCells="1">
                  <from>
                    <xdr:col>5</xdr:col>
                    <xdr:colOff>9525</xdr:colOff>
                    <xdr:row>22</xdr:row>
                    <xdr:rowOff>9525</xdr:rowOff>
                  </from>
                  <to>
                    <xdr:col>5</xdr:col>
                    <xdr:colOff>304800</xdr:colOff>
                    <xdr:row>22</xdr:row>
                    <xdr:rowOff>371475</xdr:rowOff>
                  </to>
                </anchor>
              </controlPr>
            </control>
          </mc:Choice>
        </mc:AlternateContent>
        <mc:AlternateContent xmlns:mc="http://schemas.openxmlformats.org/markup-compatibility/2006">
          <mc:Choice Requires="x14">
            <control shapeId="8222" r:id="rId18" name="Spinner 30">
              <controlPr defaultSize="0" autoPict="0">
                <anchor moveWithCells="1" sizeWithCells="1">
                  <from>
                    <xdr:col>5</xdr:col>
                    <xdr:colOff>9525</xdr:colOff>
                    <xdr:row>23</xdr:row>
                    <xdr:rowOff>9525</xdr:rowOff>
                  </from>
                  <to>
                    <xdr:col>5</xdr:col>
                    <xdr:colOff>304800</xdr:colOff>
                    <xdr:row>23</xdr:row>
                    <xdr:rowOff>371475</xdr:rowOff>
                  </to>
                </anchor>
              </controlPr>
            </control>
          </mc:Choice>
        </mc:AlternateContent>
        <mc:AlternateContent xmlns:mc="http://schemas.openxmlformats.org/markup-compatibility/2006">
          <mc:Choice Requires="x14">
            <control shapeId="8223" r:id="rId19" name="Spinner 31">
              <controlPr defaultSize="0" autoPict="0">
                <anchor moveWithCells="1" sizeWithCells="1">
                  <from>
                    <xdr:col>3</xdr:col>
                    <xdr:colOff>9525</xdr:colOff>
                    <xdr:row>5</xdr:row>
                    <xdr:rowOff>9525</xdr:rowOff>
                  </from>
                  <to>
                    <xdr:col>3</xdr:col>
                    <xdr:colOff>304800</xdr:colOff>
                    <xdr:row>6</xdr:row>
                    <xdr:rowOff>180975</xdr:rowOff>
                  </to>
                </anchor>
              </controlPr>
            </control>
          </mc:Choice>
        </mc:AlternateContent>
        <mc:AlternateContent xmlns:mc="http://schemas.openxmlformats.org/markup-compatibility/2006">
          <mc:Choice Requires="x14">
            <control shapeId="8224" r:id="rId20" name="Spinner 32">
              <controlPr defaultSize="0" autoPict="0">
                <anchor moveWithCells="1" sizeWithCells="1">
                  <from>
                    <xdr:col>3</xdr:col>
                    <xdr:colOff>9525</xdr:colOff>
                    <xdr:row>7</xdr:row>
                    <xdr:rowOff>9525</xdr:rowOff>
                  </from>
                  <to>
                    <xdr:col>3</xdr:col>
                    <xdr:colOff>304800</xdr:colOff>
                    <xdr:row>8</xdr:row>
                    <xdr:rowOff>180975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02407697-4524-41AF-8D37-8532452CADE7}">
            <xm:f>Übersicht!$B$45&lt;Übersicht!$B$47</xm:f>
            <x14:dxf>
              <font>
                <color theme="1"/>
              </font>
              <fill>
                <patternFill>
                  <bgColor theme="1"/>
                </patternFill>
              </fill>
            </x14:dxf>
          </x14:cfRule>
          <xm:sqref>B14:D14 F14:I14 B4:C5 E4:I5 B6:I13 B15:H15 H16:I24 B16:F24</xm:sqref>
        </x14:conditionalFormatting>
        <x14:conditionalFormatting xmlns:xm="http://schemas.microsoft.com/office/excel/2006/main">
          <x14:cfRule type="expression" priority="19" id="{FBA572F2-3A07-4736-9F2C-A2B9AAF3276E}">
            <xm:f>Übersicht!$B$45&lt;Übersicht!$B$47</xm:f>
            <x14:dxf>
              <font>
                <color theme="1"/>
              </font>
              <fill>
                <patternFill>
                  <bgColor theme="1"/>
                </patternFill>
              </fill>
            </x14:dxf>
          </x14:cfRule>
          <xm:sqref>E14</xm:sqref>
        </x14:conditionalFormatting>
        <x14:conditionalFormatting xmlns:xm="http://schemas.microsoft.com/office/excel/2006/main">
          <x14:cfRule type="expression" priority="17" id="{F6B79561-8B4C-4506-856D-E2019DA09AC6}">
            <xm:f>Übersicht!$B$45&lt;Übersicht!$B$47</xm:f>
            <x14:dxf>
              <font>
                <color theme="1"/>
              </font>
              <fill>
                <patternFill>
                  <bgColor theme="1"/>
                </patternFill>
              </fill>
            </x14:dxf>
          </x14:cfRule>
          <xm:sqref>M12</xm:sqref>
        </x14:conditionalFormatting>
        <x14:conditionalFormatting xmlns:xm="http://schemas.microsoft.com/office/excel/2006/main">
          <x14:cfRule type="expression" priority="13" id="{3A343A3E-C453-4466-8084-DDD8561FF31E}">
            <xm:f>Übersicht!$B$45&lt;Übersicht!$B$47</xm:f>
            <x14:dxf>
              <font>
                <color theme="1"/>
              </font>
              <fill>
                <patternFill>
                  <bgColor theme="1"/>
                </patternFill>
              </fill>
            </x14:dxf>
          </x14:cfRule>
          <xm:sqref>L12</xm:sqref>
        </x14:conditionalFormatting>
        <x14:conditionalFormatting xmlns:xm="http://schemas.microsoft.com/office/excel/2006/main">
          <x14:cfRule type="expression" priority="9" id="{6529179D-E74D-432A-9CF4-539B18F10F0A}">
            <xm:f>Übersicht!$B$45&lt;Übersicht!$B$47</xm:f>
            <x14:dxf>
              <font>
                <color theme="1"/>
              </font>
              <fill>
                <patternFill>
                  <bgColor theme="1"/>
                </patternFill>
              </fill>
            </x14:dxf>
          </x14:cfRule>
          <xm:sqref>G16:G24</xm:sqref>
        </x14:conditionalFormatting>
        <x14:conditionalFormatting xmlns:xm="http://schemas.microsoft.com/office/excel/2006/main">
          <x14:cfRule type="expression" priority="7" id="{1BEC058B-C163-403C-BE5E-3A179CB234B5}">
            <xm:f>Übersicht!$B$45&lt;Übersicht!$B$47</xm:f>
            <x14:dxf>
              <font>
                <color theme="1"/>
              </font>
              <fill>
                <patternFill>
                  <bgColor theme="1"/>
                </patternFill>
              </fill>
            </x14:dxf>
          </x14:cfRule>
          <xm:sqref>B25:B26</xm:sqref>
        </x14:conditionalFormatting>
        <x14:conditionalFormatting xmlns:xm="http://schemas.microsoft.com/office/excel/2006/main">
          <x14:cfRule type="expression" priority="6" id="{44BF734D-3666-4FF5-81C5-3CDB655FF31C}">
            <xm:f>Übersicht!$B$45&lt;Übersicht!$B$47</xm:f>
            <x14:dxf>
              <font>
                <color theme="1"/>
              </font>
              <fill>
                <patternFill>
                  <bgColor theme="1"/>
                </patternFill>
              </fill>
            </x14:dxf>
          </x14:cfRule>
          <xm:sqref>F25:F26</xm:sqref>
        </x14:conditionalFormatting>
        <x14:conditionalFormatting xmlns:xm="http://schemas.microsoft.com/office/excel/2006/main">
          <x14:cfRule type="expression" priority="4" id="{8DE1A041-BF39-4152-AD94-14C6CBD766C1}">
            <xm:f>Übersicht!$B$45&lt;Übersicht!$B$47</xm:f>
            <x14:dxf>
              <font>
                <color theme="1"/>
              </font>
              <fill>
                <patternFill>
                  <bgColor theme="1"/>
                </patternFill>
              </fill>
            </x14:dxf>
          </x14:cfRule>
          <xm:sqref>I15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39"/>
  <sheetViews>
    <sheetView showGridLines="0" topLeftCell="A3" workbookViewId="0">
      <selection activeCell="C4" sqref="C4:D4"/>
    </sheetView>
  </sheetViews>
  <sheetFormatPr baseColWidth="10" defaultRowHeight="14.25" x14ac:dyDescent="0.2"/>
  <cols>
    <col min="1" max="1" width="11.42578125" style="94"/>
    <col min="2" max="2" width="16.7109375" style="94" customWidth="1"/>
    <col min="3" max="3" width="12.7109375" style="94" customWidth="1"/>
    <col min="4" max="4" width="4.7109375" style="94" customWidth="1"/>
    <col min="5" max="5" width="11.7109375" style="94" customWidth="1"/>
    <col min="6" max="6" width="4.7109375" style="94" customWidth="1"/>
    <col min="7" max="7" width="15.7109375" style="279" customWidth="1"/>
    <col min="8" max="9" width="15.7109375" style="94" customWidth="1"/>
    <col min="10" max="10" width="18.28515625" style="94" customWidth="1"/>
    <col min="11" max="11" width="7.7109375" style="279" hidden="1" customWidth="1"/>
    <col min="12" max="12" width="11.85546875" style="151" hidden="1" customWidth="1"/>
    <col min="13" max="15" width="14.140625" style="279" hidden="1" customWidth="1"/>
    <col min="16" max="16" width="16.85546875" style="279" customWidth="1"/>
    <col min="17" max="16384" width="11.42578125" style="279"/>
  </cols>
  <sheetData>
    <row r="1" spans="1:40" s="94" customFormat="1" ht="15" customHeight="1" x14ac:dyDescent="0.2">
      <c r="A1" s="92"/>
      <c r="B1" s="92"/>
      <c r="C1" s="92"/>
      <c r="D1" s="93"/>
      <c r="E1" s="92"/>
      <c r="F1" s="92"/>
      <c r="H1" s="92"/>
      <c r="I1" s="93"/>
      <c r="K1" s="96"/>
      <c r="L1" s="95"/>
    </row>
    <row r="2" spans="1:40" s="92" customFormat="1" ht="40.5" customHeight="1" x14ac:dyDescent="0.25">
      <c r="A2" s="97"/>
      <c r="B2" s="431" t="s">
        <v>49</v>
      </c>
      <c r="C2" s="431"/>
      <c r="D2" s="431"/>
      <c r="E2" s="441" t="s">
        <v>138</v>
      </c>
      <c r="F2" s="441"/>
      <c r="G2" s="441"/>
      <c r="H2" s="441"/>
      <c r="I2" s="260"/>
      <c r="K2" s="95"/>
      <c r="L2" s="95"/>
      <c r="AK2" s="94"/>
      <c r="AL2" s="94"/>
      <c r="AM2" s="94"/>
      <c r="AN2" s="94"/>
    </row>
    <row r="3" spans="1:40" s="99" customFormat="1" ht="15" customHeight="1" x14ac:dyDescent="0.2">
      <c r="A3" s="97"/>
      <c r="B3" s="432"/>
      <c r="C3" s="432"/>
      <c r="D3" s="98"/>
      <c r="E3" s="134"/>
      <c r="F3" s="134"/>
      <c r="H3" s="208"/>
      <c r="I3" s="98"/>
      <c r="K3" s="101"/>
      <c r="L3" s="250"/>
      <c r="P3" s="92"/>
    </row>
    <row r="4" spans="1:40" s="99" customFormat="1" ht="30" customHeight="1" x14ac:dyDescent="0.2">
      <c r="A4" s="97"/>
      <c r="B4" s="129" t="s">
        <v>83</v>
      </c>
      <c r="C4" s="464">
        <v>1</v>
      </c>
      <c r="D4" s="465"/>
      <c r="E4" s="265"/>
      <c r="G4" s="266" t="s">
        <v>123</v>
      </c>
      <c r="H4" s="270" t="str">
        <f>M15</f>
        <v>Energiebedarf</v>
      </c>
      <c r="I4" s="270" t="s">
        <v>122</v>
      </c>
      <c r="L4" s="97"/>
    </row>
    <row r="5" spans="1:40" s="99" customFormat="1" ht="30" customHeight="1" x14ac:dyDescent="0.2">
      <c r="A5" s="97"/>
      <c r="B5" s="129" t="s">
        <v>86</v>
      </c>
      <c r="C5" s="462">
        <v>7</v>
      </c>
      <c r="D5" s="463"/>
      <c r="E5" s="264"/>
      <c r="H5" s="271">
        <f t="shared" ref="H5:H13" si="0">M16</f>
        <v>163.13599999999997</v>
      </c>
      <c r="I5" s="271">
        <f>N16+O16</f>
        <v>134.64823430706764</v>
      </c>
      <c r="L5" s="97"/>
    </row>
    <row r="6" spans="1:40" s="99" customFormat="1" ht="15" customHeight="1" x14ac:dyDescent="0.2">
      <c r="A6" s="97"/>
      <c r="B6" s="442" t="s">
        <v>107</v>
      </c>
      <c r="C6" s="446">
        <f>K6/10</f>
        <v>3.4</v>
      </c>
      <c r="D6" s="452"/>
      <c r="E6" s="264"/>
      <c r="H6" s="271">
        <f t="shared" si="0"/>
        <v>166.41999999999996</v>
      </c>
      <c r="I6" s="271">
        <f t="shared" ref="I6:I13" si="1">N17+O17</f>
        <v>152.32836125475683</v>
      </c>
      <c r="K6" s="459">
        <v>34</v>
      </c>
      <c r="L6" s="97"/>
    </row>
    <row r="7" spans="1:40" s="99" customFormat="1" ht="15" customHeight="1" x14ac:dyDescent="0.2">
      <c r="A7" s="97"/>
      <c r="B7" s="443"/>
      <c r="C7" s="447"/>
      <c r="D7" s="452"/>
      <c r="E7" s="264"/>
      <c r="H7" s="271">
        <f t="shared" si="0"/>
        <v>163.13599999999997</v>
      </c>
      <c r="I7" s="271">
        <f t="shared" si="1"/>
        <v>153.25870142463503</v>
      </c>
      <c r="K7" s="459"/>
      <c r="L7" s="251"/>
    </row>
    <row r="8" spans="1:40" s="99" customFormat="1" ht="15" customHeight="1" x14ac:dyDescent="0.2">
      <c r="A8" s="97"/>
      <c r="B8" s="442" t="s">
        <v>108</v>
      </c>
      <c r="C8" s="448">
        <f>K8/10</f>
        <v>4</v>
      </c>
      <c r="D8" s="453"/>
      <c r="E8" s="264"/>
      <c r="H8" s="271">
        <f t="shared" si="0"/>
        <v>153.28399999999999</v>
      </c>
      <c r="I8" s="271">
        <f t="shared" si="1"/>
        <v>150.15511258252394</v>
      </c>
      <c r="K8" s="460">
        <v>40</v>
      </c>
      <c r="L8" s="251"/>
    </row>
    <row r="9" spans="1:40" s="99" customFormat="1" ht="15" customHeight="1" x14ac:dyDescent="0.2">
      <c r="A9" s="97"/>
      <c r="B9" s="443" t="s">
        <v>108</v>
      </c>
      <c r="C9" s="449"/>
      <c r="D9" s="454"/>
      <c r="E9" s="264"/>
      <c r="H9" s="271">
        <f t="shared" si="0"/>
        <v>140.14799999999997</v>
      </c>
      <c r="I9" s="271">
        <f t="shared" si="1"/>
        <v>140.89418346526264</v>
      </c>
      <c r="K9" s="461"/>
      <c r="L9" s="251"/>
    </row>
    <row r="10" spans="1:40" s="99" customFormat="1" ht="15" customHeight="1" x14ac:dyDescent="0.2">
      <c r="A10" s="97"/>
      <c r="B10" s="444" t="s">
        <v>63</v>
      </c>
      <c r="C10" s="450">
        <v>650</v>
      </c>
      <c r="D10" s="455"/>
      <c r="E10" s="264"/>
      <c r="H10" s="271">
        <f t="shared" si="0"/>
        <v>127.01199999999999</v>
      </c>
      <c r="I10" s="271">
        <f t="shared" si="1"/>
        <v>127.9818808889097</v>
      </c>
      <c r="K10" s="101"/>
      <c r="L10" s="251"/>
    </row>
    <row r="11" spans="1:40" s="94" customFormat="1" ht="15" customHeight="1" x14ac:dyDescent="0.2">
      <c r="B11" s="445"/>
      <c r="C11" s="451"/>
      <c r="D11" s="456"/>
      <c r="E11" s="264"/>
      <c r="F11" s="99"/>
      <c r="G11" s="264"/>
      <c r="H11" s="271">
        <f t="shared" si="0"/>
        <v>113.87599999999999</v>
      </c>
      <c r="I11" s="271">
        <f t="shared" si="1"/>
        <v>114.15580926968231</v>
      </c>
      <c r="K11" s="318" t="s">
        <v>164</v>
      </c>
      <c r="L11" s="318" t="s">
        <v>163</v>
      </c>
    </row>
    <row r="12" spans="1:40" s="94" customFormat="1" ht="30" customHeight="1" x14ac:dyDescent="0.2">
      <c r="A12" s="269"/>
      <c r="B12" s="104" t="s">
        <v>165</v>
      </c>
      <c r="C12" s="272">
        <f>K12/10</f>
        <v>7</v>
      </c>
      <c r="D12" s="105"/>
      <c r="E12" s="264"/>
      <c r="F12" s="99"/>
      <c r="G12" s="264"/>
      <c r="H12" s="271">
        <f t="shared" si="0"/>
        <v>97.455999999999989</v>
      </c>
      <c r="I12" s="271">
        <f t="shared" si="1"/>
        <v>98.009094055970465</v>
      </c>
      <c r="K12" s="283">
        <v>70</v>
      </c>
      <c r="L12" s="320">
        <f>C12/88*100</f>
        <v>7.9545454545454541</v>
      </c>
      <c r="M12" s="434" t="s">
        <v>167</v>
      </c>
      <c r="N12" s="435"/>
      <c r="O12" s="435"/>
    </row>
    <row r="13" spans="1:40" s="94" customFormat="1" ht="30" customHeight="1" x14ac:dyDescent="0.2">
      <c r="B13" s="104" t="s">
        <v>66</v>
      </c>
      <c r="C13" s="340">
        <f>K13/10</f>
        <v>6.2</v>
      </c>
      <c r="D13" s="105"/>
      <c r="E13" s="264"/>
      <c r="F13" s="99"/>
      <c r="G13" s="264"/>
      <c r="H13" s="271">
        <f t="shared" si="0"/>
        <v>87.603999999999985</v>
      </c>
      <c r="I13" s="271">
        <f t="shared" si="1"/>
        <v>96.996856810816254</v>
      </c>
      <c r="K13" s="283">
        <v>62</v>
      </c>
      <c r="L13" s="251"/>
    </row>
    <row r="14" spans="1:40" s="94" customFormat="1" ht="15" customHeight="1" x14ac:dyDescent="0.2">
      <c r="A14" s="135"/>
      <c r="B14" s="135"/>
      <c r="C14" s="135"/>
      <c r="D14" s="103"/>
      <c r="E14" s="273"/>
      <c r="H14" s="103"/>
      <c r="I14" s="103"/>
      <c r="J14" s="103"/>
      <c r="K14" s="96"/>
      <c r="L14" s="95"/>
    </row>
    <row r="15" spans="1:40" s="274" customFormat="1" ht="30" customHeight="1" x14ac:dyDescent="0.25">
      <c r="A15" s="135"/>
      <c r="B15" s="136" t="s">
        <v>62</v>
      </c>
      <c r="C15" s="436" t="s">
        <v>87</v>
      </c>
      <c r="D15" s="437"/>
      <c r="E15" s="436" t="s">
        <v>166</v>
      </c>
      <c r="F15" s="440"/>
      <c r="G15" s="102" t="s">
        <v>121</v>
      </c>
      <c r="H15" s="102" t="s">
        <v>88</v>
      </c>
      <c r="I15" s="102" t="s">
        <v>176</v>
      </c>
      <c r="J15" s="262" t="s">
        <v>124</v>
      </c>
      <c r="L15" s="95"/>
      <c r="M15" s="275" t="s">
        <v>118</v>
      </c>
      <c r="N15" s="275" t="s">
        <v>119</v>
      </c>
      <c r="O15" s="275" t="s">
        <v>120</v>
      </c>
    </row>
    <row r="16" spans="1:40" ht="30" customHeight="1" x14ac:dyDescent="0.2">
      <c r="A16" s="261">
        <v>20</v>
      </c>
      <c r="B16" s="137">
        <v>20</v>
      </c>
      <c r="C16" s="438">
        <f>INDEX(Lakkurve!$O$6:$Y$14,MATCH(B16,Lakkurve!$A$6:$A$14,0),MATCH($C$5,Lakkurve!$O$4:$Y$4,0))</f>
        <v>39</v>
      </c>
      <c r="D16" s="439"/>
      <c r="E16" s="276">
        <f t="shared" ref="E16:E24" si="2">K16/10</f>
        <v>8</v>
      </c>
      <c r="F16" s="226"/>
      <c r="G16" s="339">
        <f>H16-(E16*88/100)</f>
        <v>12.685199081785104</v>
      </c>
      <c r="H16" s="278">
        <f>'F1'!X$35</f>
        <v>19.725199081785103</v>
      </c>
      <c r="I16" s="253">
        <f t="shared" ref="I16:I24" si="3">-M16+N16+O16</f>
        <v>-28.487765692932314</v>
      </c>
      <c r="J16" s="261">
        <v>-10</v>
      </c>
      <c r="K16" s="283">
        <v>80</v>
      </c>
      <c r="L16" s="95"/>
      <c r="M16" s="285">
        <f>Bedarf!$C$28+Bedarf!$H$28*C16</f>
        <v>163.13599999999997</v>
      </c>
      <c r="N16" s="286">
        <f>$C$12*E16</f>
        <v>56</v>
      </c>
      <c r="O16" s="287">
        <f t="shared" ref="O16:O24" si="4">$C$13*G16</f>
        <v>78.648234307067654</v>
      </c>
    </row>
    <row r="17" spans="1:63" ht="30" customHeight="1" x14ac:dyDescent="0.2">
      <c r="A17" s="261">
        <v>20</v>
      </c>
      <c r="B17" s="137">
        <v>40</v>
      </c>
      <c r="C17" s="438">
        <f>INDEX(Lakkurve!$O$6:$Y$14,MATCH(B17,Lakkurve!$A$6:$A$14,0),MATCH($C$5,Lakkurve!$O$4:$Y$4,0))</f>
        <v>40</v>
      </c>
      <c r="D17" s="439"/>
      <c r="E17" s="276">
        <f t="shared" si="2"/>
        <v>11</v>
      </c>
      <c r="F17" s="226"/>
      <c r="G17" s="339">
        <f t="shared" ref="G17:G24" si="5">H17-(E17*88/100)</f>
        <v>12.149735686251098</v>
      </c>
      <c r="H17" s="278">
        <f>'F1'!Y$35</f>
        <v>21.829735686251098</v>
      </c>
      <c r="I17" s="253">
        <f t="shared" si="3"/>
        <v>-14.091638745243145</v>
      </c>
      <c r="J17" s="261">
        <v>-10</v>
      </c>
      <c r="K17" s="283">
        <v>110</v>
      </c>
      <c r="L17" s="95"/>
      <c r="M17" s="285">
        <f>Bedarf!$C$28+Bedarf!$H$28*C17</f>
        <v>166.41999999999996</v>
      </c>
      <c r="N17" s="286">
        <f t="shared" ref="N17:N24" si="6">$C$12*E17</f>
        <v>77</v>
      </c>
      <c r="O17" s="287">
        <f t="shared" si="4"/>
        <v>75.328361254756814</v>
      </c>
    </row>
    <row r="18" spans="1:63" ht="30" customHeight="1" x14ac:dyDescent="0.2">
      <c r="A18" s="261">
        <v>40</v>
      </c>
      <c r="B18" s="137">
        <v>60</v>
      </c>
      <c r="C18" s="438">
        <f>INDEX(Lakkurve!$O$6:$Y$14,MATCH(B18,Lakkurve!$A$6:$A$14,0),MATCH($C$5,Lakkurve!$O$4:$Y$4,0))</f>
        <v>39</v>
      </c>
      <c r="D18" s="439"/>
      <c r="E18" s="276">
        <f t="shared" si="2"/>
        <v>11</v>
      </c>
      <c r="F18" s="226"/>
      <c r="G18" s="339">
        <f t="shared" si="5"/>
        <v>12.299790552360491</v>
      </c>
      <c r="H18" s="278">
        <f>'F1'!Z$35</f>
        <v>21.979790552360491</v>
      </c>
      <c r="I18" s="253">
        <f t="shared" si="3"/>
        <v>-9.8772985753649181</v>
      </c>
      <c r="J18" s="261">
        <v>-10</v>
      </c>
      <c r="K18" s="283">
        <v>110</v>
      </c>
      <c r="L18" s="95"/>
      <c r="M18" s="285">
        <f>Bedarf!$C$28+Bedarf!$H$28*C18</f>
        <v>163.13599999999997</v>
      </c>
      <c r="N18" s="286">
        <f t="shared" si="6"/>
        <v>77</v>
      </c>
      <c r="O18" s="287">
        <f t="shared" si="4"/>
        <v>76.258701424635049</v>
      </c>
    </row>
    <row r="19" spans="1:63" ht="30" customHeight="1" x14ac:dyDescent="0.2">
      <c r="A19" s="261">
        <v>50</v>
      </c>
      <c r="B19" s="137">
        <v>100</v>
      </c>
      <c r="C19" s="438">
        <f>INDEX(Lakkurve!$O$6:$Y$14,MATCH(B19,Lakkurve!$A$6:$A$14,0),MATCH($C$5,Lakkurve!$O$4:$Y$4,0))</f>
        <v>36</v>
      </c>
      <c r="D19" s="439"/>
      <c r="E19" s="276">
        <f t="shared" si="2"/>
        <v>10.5</v>
      </c>
      <c r="F19" s="226"/>
      <c r="G19" s="339">
        <f t="shared" si="5"/>
        <v>12.363727835890957</v>
      </c>
      <c r="H19" s="278">
        <f>'F1'!AA$35</f>
        <v>21.603727835890957</v>
      </c>
      <c r="I19" s="253">
        <f t="shared" si="3"/>
        <v>-3.1288874174760508</v>
      </c>
      <c r="J19" s="261">
        <f>0</f>
        <v>0</v>
      </c>
      <c r="K19" s="283">
        <v>105</v>
      </c>
      <c r="L19" s="95"/>
      <c r="M19" s="285">
        <f>Bedarf!$C$28+Bedarf!$H$28*C19</f>
        <v>153.28399999999999</v>
      </c>
      <c r="N19" s="286">
        <f t="shared" si="6"/>
        <v>73.5</v>
      </c>
      <c r="O19" s="287">
        <f t="shared" si="4"/>
        <v>76.655112582523941</v>
      </c>
    </row>
    <row r="20" spans="1:63" ht="30" customHeight="1" x14ac:dyDescent="0.2">
      <c r="A20" s="261">
        <v>50</v>
      </c>
      <c r="B20" s="137">
        <v>150</v>
      </c>
      <c r="C20" s="438">
        <f>INDEX(Lakkurve!$O$6:$Y$14,MATCH(B20,Lakkurve!$A$6:$A$14,0),MATCH($C$5,Lakkurve!$O$4:$Y$4,0))</f>
        <v>32</v>
      </c>
      <c r="D20" s="439"/>
      <c r="E20" s="276">
        <f t="shared" si="2"/>
        <v>9</v>
      </c>
      <c r="F20" s="226"/>
      <c r="G20" s="339">
        <f t="shared" si="5"/>
        <v>12.563577978268169</v>
      </c>
      <c r="H20" s="278">
        <f>'F1'!AB$35</f>
        <v>20.483577978268169</v>
      </c>
      <c r="I20" s="253">
        <f t="shared" si="3"/>
        <v>0.74618346526268908</v>
      </c>
      <c r="J20" s="261">
        <f>0</f>
        <v>0</v>
      </c>
      <c r="K20" s="283">
        <v>90</v>
      </c>
      <c r="L20" s="95"/>
      <c r="M20" s="285">
        <f>Bedarf!$C$28+Bedarf!$H$28*C20</f>
        <v>140.14799999999997</v>
      </c>
      <c r="N20" s="286">
        <f t="shared" si="6"/>
        <v>63</v>
      </c>
      <c r="O20" s="287">
        <f t="shared" si="4"/>
        <v>77.894183465262657</v>
      </c>
    </row>
    <row r="21" spans="1:63" ht="30" customHeight="1" x14ac:dyDescent="0.2">
      <c r="A21" s="261">
        <v>50</v>
      </c>
      <c r="B21" s="137">
        <v>200</v>
      </c>
      <c r="C21" s="438">
        <f>INDEX(Lakkurve!$O$6:$Y$14,MATCH(B21,Lakkurve!$A$6:$A$14,0),MATCH($C$5,Lakkurve!$O$4:$Y$4,0))</f>
        <v>28</v>
      </c>
      <c r="D21" s="439"/>
      <c r="E21" s="276">
        <f t="shared" si="2"/>
        <v>6.5</v>
      </c>
      <c r="F21" s="226"/>
      <c r="G21" s="339">
        <f t="shared" si="5"/>
        <v>13.303529175630597</v>
      </c>
      <c r="H21" s="278">
        <f>'F1'!AC$35</f>
        <v>19.023529175630596</v>
      </c>
      <c r="I21" s="253">
        <f t="shared" si="3"/>
        <v>0.96988088890971369</v>
      </c>
      <c r="J21" s="261">
        <v>0</v>
      </c>
      <c r="K21" s="283">
        <v>65</v>
      </c>
      <c r="L21" s="95"/>
      <c r="M21" s="285">
        <f>Bedarf!$C$28+Bedarf!$H$28*C21</f>
        <v>127.01199999999999</v>
      </c>
      <c r="N21" s="286">
        <f t="shared" si="6"/>
        <v>45.5</v>
      </c>
      <c r="O21" s="287">
        <f t="shared" si="4"/>
        <v>82.4818808889097</v>
      </c>
    </row>
    <row r="22" spans="1:63" ht="30" customHeight="1" x14ac:dyDescent="0.2">
      <c r="A22" s="261">
        <v>50</v>
      </c>
      <c r="B22" s="137">
        <v>250</v>
      </c>
      <c r="C22" s="438">
        <f>INDEX(Lakkurve!$O$6:$Y$14,MATCH(B22,Lakkurve!$A$6:$A$14,0),MATCH($C$5,Lakkurve!$O$4:$Y$4,0))</f>
        <v>24</v>
      </c>
      <c r="D22" s="439"/>
      <c r="E22" s="276">
        <f t="shared" si="2"/>
        <v>3.5</v>
      </c>
      <c r="F22" s="226"/>
      <c r="G22" s="339">
        <f t="shared" si="5"/>
        <v>14.460614398335855</v>
      </c>
      <c r="H22" s="278">
        <f>'F1'!AD$35</f>
        <v>17.540614398335855</v>
      </c>
      <c r="I22" s="253">
        <f t="shared" si="3"/>
        <v>0.27980926968231756</v>
      </c>
      <c r="J22" s="261">
        <v>0</v>
      </c>
      <c r="K22" s="283">
        <v>35</v>
      </c>
      <c r="L22" s="95"/>
      <c r="M22" s="285">
        <f>Bedarf!$C$28+Bedarf!$H$28*C22</f>
        <v>113.87599999999999</v>
      </c>
      <c r="N22" s="286">
        <f t="shared" si="6"/>
        <v>24.5</v>
      </c>
      <c r="O22" s="287">
        <f t="shared" si="4"/>
        <v>89.655809269682308</v>
      </c>
    </row>
    <row r="23" spans="1:63" ht="30" customHeight="1" x14ac:dyDescent="0.2">
      <c r="A23" s="261">
        <v>50</v>
      </c>
      <c r="B23" s="137">
        <v>300</v>
      </c>
      <c r="C23" s="438">
        <f>INDEX(Lakkurve!$O$6:$Y$14,MATCH(B23,Lakkurve!$A$6:$A$14,0),MATCH($C$5,Lakkurve!$O$4:$Y$4,0))</f>
        <v>19</v>
      </c>
      <c r="D23" s="439"/>
      <c r="E23" s="276">
        <f t="shared" si="2"/>
        <v>0</v>
      </c>
      <c r="F23" s="226"/>
      <c r="G23" s="339">
        <f t="shared" si="5"/>
        <v>15.807918396124268</v>
      </c>
      <c r="H23" s="278">
        <f>'F1'!AE$35</f>
        <v>15.807918396124268</v>
      </c>
      <c r="I23" s="253">
        <f t="shared" si="3"/>
        <v>0.55309405597047601</v>
      </c>
      <c r="J23" s="261">
        <v>5</v>
      </c>
      <c r="K23" s="283">
        <v>0</v>
      </c>
      <c r="L23" s="95"/>
      <c r="M23" s="285">
        <f>Bedarf!$C$28+Bedarf!$H$28*C23</f>
        <v>97.455999999999989</v>
      </c>
      <c r="N23" s="286">
        <f t="shared" si="6"/>
        <v>0</v>
      </c>
      <c r="O23" s="287">
        <f t="shared" si="4"/>
        <v>98.009094055970465</v>
      </c>
    </row>
    <row r="24" spans="1:63" ht="30" customHeight="1" x14ac:dyDescent="0.2">
      <c r="A24" s="261">
        <v>50</v>
      </c>
      <c r="B24" s="137">
        <v>350</v>
      </c>
      <c r="C24" s="438">
        <f>INDEX(Lakkurve!$O$6:$Y$14,MATCH(B24,Lakkurve!$A$6:$A$14,0),MATCH($C$5,Lakkurve!$O$4:$Y$4,0))</f>
        <v>16</v>
      </c>
      <c r="D24" s="439"/>
      <c r="E24" s="276">
        <f t="shared" si="2"/>
        <v>0</v>
      </c>
      <c r="F24" s="226"/>
      <c r="G24" s="339">
        <f t="shared" si="5"/>
        <v>15.644654324325202</v>
      </c>
      <c r="H24" s="278">
        <f>'F1'!AF$35</f>
        <v>15.644654324325202</v>
      </c>
      <c r="I24" s="253">
        <f t="shared" si="3"/>
        <v>9.3928568108162693</v>
      </c>
      <c r="J24" s="261">
        <v>5</v>
      </c>
      <c r="K24" s="283">
        <v>0</v>
      </c>
      <c r="L24" s="95"/>
      <c r="M24" s="285">
        <f>Bedarf!$C$28+Bedarf!$H$28*C24</f>
        <v>87.603999999999985</v>
      </c>
      <c r="N24" s="286">
        <f t="shared" si="6"/>
        <v>0</v>
      </c>
      <c r="O24" s="287">
        <f t="shared" si="4"/>
        <v>96.996856810816254</v>
      </c>
    </row>
    <row r="25" spans="1:63" x14ac:dyDescent="0.2">
      <c r="B25" s="329" t="s">
        <v>170</v>
      </c>
      <c r="E25" s="324"/>
      <c r="F25" s="329" t="s">
        <v>174</v>
      </c>
    </row>
    <row r="26" spans="1:63" x14ac:dyDescent="0.2">
      <c r="B26" s="329"/>
      <c r="E26" s="331"/>
      <c r="F26" s="329" t="s">
        <v>177</v>
      </c>
    </row>
    <row r="27" spans="1:63" s="143" customFormat="1" ht="11.25" customHeight="1" x14ac:dyDescent="0.2">
      <c r="A27" s="138"/>
      <c r="B27" s="139" t="s">
        <v>89</v>
      </c>
      <c r="C27" s="140"/>
      <c r="D27" s="140"/>
      <c r="E27" s="140"/>
      <c r="F27" s="140"/>
      <c r="G27" s="140"/>
      <c r="H27" s="140"/>
      <c r="I27" s="140"/>
      <c r="J27" s="150"/>
      <c r="K27" s="142"/>
      <c r="L27" s="252"/>
      <c r="M27" s="142"/>
      <c r="N27" s="142"/>
      <c r="O27" s="142"/>
      <c r="P27" s="142"/>
      <c r="Q27" s="142"/>
      <c r="R27" s="142"/>
    </row>
    <row r="28" spans="1:63" s="147" customFormat="1" ht="11.25" customHeight="1" x14ac:dyDescent="0.2">
      <c r="A28" s="144"/>
      <c r="B28" s="145" t="s">
        <v>90</v>
      </c>
      <c r="C28" s="146"/>
      <c r="D28" s="146"/>
      <c r="E28" s="146"/>
      <c r="F28" s="146"/>
      <c r="G28" s="146"/>
      <c r="H28" s="146"/>
      <c r="I28" s="146"/>
      <c r="J28" s="150"/>
      <c r="K28" s="94"/>
      <c r="L28" s="92"/>
      <c r="M28" s="94"/>
      <c r="N28" s="94"/>
      <c r="O28" s="94"/>
      <c r="P28" s="94"/>
      <c r="Q28" s="94"/>
      <c r="R28" s="94"/>
    </row>
    <row r="29" spans="1:63" s="147" customFormat="1" ht="11.25" customHeight="1" x14ac:dyDescent="0.2">
      <c r="A29" s="144"/>
      <c r="B29" s="148" t="s">
        <v>91</v>
      </c>
      <c r="C29" s="149"/>
      <c r="D29" s="149"/>
      <c r="E29" s="149"/>
      <c r="F29" s="149"/>
      <c r="G29" s="149"/>
      <c r="H29" s="149"/>
      <c r="I29" s="149"/>
      <c r="J29" s="150"/>
      <c r="K29" s="94"/>
      <c r="L29" s="92"/>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Z29" s="94"/>
      <c r="BA29" s="94"/>
      <c r="BB29" s="94"/>
      <c r="BC29" s="94"/>
      <c r="BD29" s="94"/>
      <c r="BE29" s="94"/>
      <c r="BF29" s="94"/>
      <c r="BG29" s="94"/>
      <c r="BH29" s="94"/>
      <c r="BI29" s="94"/>
      <c r="BJ29" s="94"/>
      <c r="BK29" s="94"/>
    </row>
    <row r="30" spans="1:63" s="150" customFormat="1" x14ac:dyDescent="0.25"/>
    <row r="31" spans="1:63" ht="30" customHeight="1" x14ac:dyDescent="0.2"/>
    <row r="32" spans="1:63" ht="30" customHeight="1" x14ac:dyDescent="0.2">
      <c r="A32" s="279"/>
      <c r="B32" s="279"/>
      <c r="C32" s="279"/>
      <c r="D32" s="279"/>
      <c r="E32" s="279"/>
      <c r="F32" s="279"/>
      <c r="H32" s="279"/>
      <c r="I32" s="279"/>
      <c r="J32" s="279"/>
      <c r="L32" s="279"/>
    </row>
    <row r="33" spans="1:12" x14ac:dyDescent="0.2">
      <c r="A33" s="279"/>
      <c r="B33" s="279"/>
      <c r="C33" s="279"/>
      <c r="D33" s="279"/>
      <c r="E33" s="279"/>
      <c r="F33" s="279"/>
      <c r="H33" s="279"/>
      <c r="I33" s="279"/>
      <c r="J33" s="279"/>
      <c r="L33" s="279"/>
    </row>
    <row r="34" spans="1:12" x14ac:dyDescent="0.2">
      <c r="A34" s="279"/>
      <c r="B34" s="279"/>
      <c r="C34" s="279"/>
      <c r="D34" s="279"/>
      <c r="E34" s="279"/>
      <c r="F34" s="279"/>
      <c r="H34" s="279"/>
      <c r="I34" s="279"/>
      <c r="J34" s="279"/>
      <c r="L34" s="279"/>
    </row>
    <row r="35" spans="1:12" x14ac:dyDescent="0.2">
      <c r="A35" s="279"/>
      <c r="B35" s="279"/>
      <c r="C35" s="279"/>
      <c r="D35" s="279"/>
      <c r="E35" s="279"/>
      <c r="F35" s="279"/>
      <c r="H35" s="279"/>
      <c r="I35" s="279"/>
      <c r="J35" s="279"/>
      <c r="L35" s="279"/>
    </row>
    <row r="36" spans="1:12" x14ac:dyDescent="0.2">
      <c r="A36" s="279"/>
      <c r="B36" s="279"/>
      <c r="C36" s="279"/>
      <c r="D36" s="279"/>
      <c r="E36" s="279"/>
      <c r="F36" s="279"/>
      <c r="H36" s="279"/>
      <c r="I36" s="279"/>
      <c r="J36" s="279"/>
      <c r="L36" s="279"/>
    </row>
    <row r="37" spans="1:12" x14ac:dyDescent="0.2">
      <c r="A37" s="279"/>
      <c r="B37" s="279"/>
      <c r="C37" s="279"/>
      <c r="D37" s="279"/>
      <c r="E37" s="279"/>
      <c r="F37" s="279"/>
      <c r="H37" s="279"/>
      <c r="I37" s="279"/>
      <c r="J37" s="279"/>
      <c r="L37" s="279"/>
    </row>
    <row r="38" spans="1:12" x14ac:dyDescent="0.2">
      <c r="A38" s="279"/>
      <c r="B38" s="279"/>
      <c r="C38" s="279"/>
      <c r="D38" s="279"/>
      <c r="E38" s="279"/>
      <c r="F38" s="279"/>
      <c r="H38" s="279"/>
      <c r="I38" s="279"/>
      <c r="J38" s="279"/>
      <c r="L38" s="279"/>
    </row>
    <row r="39" spans="1:12" x14ac:dyDescent="0.2">
      <c r="A39" s="279"/>
      <c r="B39" s="279"/>
      <c r="C39" s="279"/>
      <c r="D39" s="279"/>
      <c r="E39" s="279"/>
      <c r="F39" s="279"/>
      <c r="H39" s="279"/>
      <c r="I39" s="279"/>
      <c r="J39" s="279"/>
      <c r="L39" s="279"/>
    </row>
  </sheetData>
  <sheetProtection password="CF35" sheet="1" objects="1" scenarios="1" insertHyperlinks="0" selectLockedCells="1"/>
  <mergeCells count="28">
    <mergeCell ref="C20:D20"/>
    <mergeCell ref="C21:D21"/>
    <mergeCell ref="C22:D22"/>
    <mergeCell ref="C23:D23"/>
    <mergeCell ref="C24:D24"/>
    <mergeCell ref="C17:D17"/>
    <mergeCell ref="C18:D18"/>
    <mergeCell ref="C19:D19"/>
    <mergeCell ref="K6:K7"/>
    <mergeCell ref="B8:B9"/>
    <mergeCell ref="C8:C9"/>
    <mergeCell ref="D8:D9"/>
    <mergeCell ref="K8:K9"/>
    <mergeCell ref="B10:B11"/>
    <mergeCell ref="C10:C11"/>
    <mergeCell ref="D10:D11"/>
    <mergeCell ref="C15:D15"/>
    <mergeCell ref="E15:F15"/>
    <mergeCell ref="C16:D16"/>
    <mergeCell ref="M12:O12"/>
    <mergeCell ref="B2:D2"/>
    <mergeCell ref="E2:H2"/>
    <mergeCell ref="B3:C3"/>
    <mergeCell ref="B6:B7"/>
    <mergeCell ref="C6:C7"/>
    <mergeCell ref="D6:D7"/>
    <mergeCell ref="C4:D4"/>
    <mergeCell ref="C5:D5"/>
  </mergeCells>
  <conditionalFormatting sqref="E16">
    <cfRule type="expression" dxfId="81" priority="35">
      <formula>E16*0.88&gt;H16/2</formula>
    </cfRule>
  </conditionalFormatting>
  <conditionalFormatting sqref="I16">
    <cfRule type="expression" dxfId="80" priority="27">
      <formula>I16&lt;J16</formula>
    </cfRule>
  </conditionalFormatting>
  <conditionalFormatting sqref="I17:I18">
    <cfRule type="expression" dxfId="79" priority="26">
      <formula>I17&lt;J17</formula>
    </cfRule>
  </conditionalFormatting>
  <conditionalFormatting sqref="I19:I22">
    <cfRule type="expression" dxfId="78" priority="25">
      <formula>I19&lt;J19</formula>
    </cfRule>
  </conditionalFormatting>
  <conditionalFormatting sqref="I19:I22">
    <cfRule type="expression" dxfId="77" priority="24">
      <formula>I19&lt;J19</formula>
    </cfRule>
  </conditionalFormatting>
  <conditionalFormatting sqref="I23">
    <cfRule type="expression" dxfId="76" priority="23">
      <formula>I23&gt;J23</formula>
    </cfRule>
  </conditionalFormatting>
  <conditionalFormatting sqref="I24">
    <cfRule type="expression" dxfId="75" priority="22">
      <formula>I24&gt;J24</formula>
    </cfRule>
  </conditionalFormatting>
  <conditionalFormatting sqref="M12">
    <cfRule type="expression" dxfId="74" priority="16">
      <formula>#REF!&lt;#REF!</formula>
    </cfRule>
  </conditionalFormatting>
  <conditionalFormatting sqref="L12">
    <cfRule type="expression" dxfId="73" priority="14">
      <formula>#REF!&lt;#REF!</formula>
    </cfRule>
  </conditionalFormatting>
  <conditionalFormatting sqref="G16:G24">
    <cfRule type="expression" dxfId="72" priority="10">
      <formula>#REF!&lt;#REF!</formula>
    </cfRule>
  </conditionalFormatting>
  <conditionalFormatting sqref="B25:B26">
    <cfRule type="expression" dxfId="71" priority="8">
      <formula>#REF!&lt;#REF!</formula>
    </cfRule>
  </conditionalFormatting>
  <conditionalFormatting sqref="I15">
    <cfRule type="expression" dxfId="70" priority="5">
      <formula>#REF!&lt;#REF!</formula>
    </cfRule>
  </conditionalFormatting>
  <conditionalFormatting sqref="C4">
    <cfRule type="expression" dxfId="69" priority="2">
      <formula>C4*0.88&gt;F4/2</formula>
    </cfRule>
  </conditionalFormatting>
  <conditionalFormatting sqref="E17:E24">
    <cfRule type="expression" dxfId="68" priority="1">
      <formula>E17*0.88&gt;H17/2</formula>
    </cfRule>
  </conditionalFormatting>
  <hyperlinks>
    <hyperlink ref="B27" r:id="rId1" display="© Copyright: Möller Agrarmarketing e.K."/>
  </hyperlinks>
  <printOptions horizontalCentered="1"/>
  <pageMargins left="0.70866141732283472" right="0.70866141732283472" top="0.78740157480314965" bottom="0.78740157480314965" header="0.31496062992125984" footer="0.31496062992125984"/>
  <pageSetup paperSize="9" scale="8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1265" r:id="rId5" name="Drop Down 1">
              <controlPr defaultSize="0" autoLine="0" autoPict="0">
                <anchor moveWithCells="1" sizeWithCells="1">
                  <from>
                    <xdr:col>2</xdr:col>
                    <xdr:colOff>19050</xdr:colOff>
                    <xdr:row>3</xdr:row>
                    <xdr:rowOff>19050</xdr:rowOff>
                  </from>
                  <to>
                    <xdr:col>3</xdr:col>
                    <xdr:colOff>295275</xdr:colOff>
                    <xdr:row>3</xdr:row>
                    <xdr:rowOff>371475</xdr:rowOff>
                  </to>
                </anchor>
              </controlPr>
            </control>
          </mc:Choice>
        </mc:AlternateContent>
        <mc:AlternateContent xmlns:mc="http://schemas.openxmlformats.org/markup-compatibility/2006">
          <mc:Choice Requires="x14">
            <control shapeId="11266" r:id="rId6" name="Spinner 2">
              <controlPr defaultSize="0" autoPict="0">
                <anchor moveWithCells="1" sizeWithCells="1">
                  <from>
                    <xdr:col>3</xdr:col>
                    <xdr:colOff>9525</xdr:colOff>
                    <xdr:row>9</xdr:row>
                    <xdr:rowOff>9525</xdr:rowOff>
                  </from>
                  <to>
                    <xdr:col>3</xdr:col>
                    <xdr:colOff>304800</xdr:colOff>
                    <xdr:row>10</xdr:row>
                    <xdr:rowOff>180975</xdr:rowOff>
                  </to>
                </anchor>
              </controlPr>
            </control>
          </mc:Choice>
        </mc:AlternateContent>
        <mc:AlternateContent xmlns:mc="http://schemas.openxmlformats.org/markup-compatibility/2006">
          <mc:Choice Requires="x14">
            <control shapeId="11267" r:id="rId7" name="Drop Down 3">
              <controlPr defaultSize="0" autoLine="0" autoPict="0">
                <anchor moveWithCells="1" sizeWithCells="1">
                  <from>
                    <xdr:col>2</xdr:col>
                    <xdr:colOff>19050</xdr:colOff>
                    <xdr:row>4</xdr:row>
                    <xdr:rowOff>9525</xdr:rowOff>
                  </from>
                  <to>
                    <xdr:col>3</xdr:col>
                    <xdr:colOff>295275</xdr:colOff>
                    <xdr:row>4</xdr:row>
                    <xdr:rowOff>361950</xdr:rowOff>
                  </to>
                </anchor>
              </controlPr>
            </control>
          </mc:Choice>
        </mc:AlternateContent>
        <mc:AlternateContent xmlns:mc="http://schemas.openxmlformats.org/markup-compatibility/2006">
          <mc:Choice Requires="x14">
            <control shapeId="11268" r:id="rId8" name="Spinner 4">
              <controlPr defaultSize="0" autoPict="0">
                <anchor moveWithCells="1" sizeWithCells="1">
                  <from>
                    <xdr:col>5</xdr:col>
                    <xdr:colOff>9525</xdr:colOff>
                    <xdr:row>15</xdr:row>
                    <xdr:rowOff>9525</xdr:rowOff>
                  </from>
                  <to>
                    <xdr:col>5</xdr:col>
                    <xdr:colOff>304800</xdr:colOff>
                    <xdr:row>15</xdr:row>
                    <xdr:rowOff>371475</xdr:rowOff>
                  </to>
                </anchor>
              </controlPr>
            </control>
          </mc:Choice>
        </mc:AlternateContent>
        <mc:AlternateContent xmlns:mc="http://schemas.openxmlformats.org/markup-compatibility/2006">
          <mc:Choice Requires="x14">
            <control shapeId="11269" r:id="rId9" name="Spinner 5">
              <controlPr defaultSize="0" autoPict="0">
                <anchor moveWithCells="1" sizeWithCells="1">
                  <from>
                    <xdr:col>3</xdr:col>
                    <xdr:colOff>9525</xdr:colOff>
                    <xdr:row>11</xdr:row>
                    <xdr:rowOff>9525</xdr:rowOff>
                  </from>
                  <to>
                    <xdr:col>3</xdr:col>
                    <xdr:colOff>304800</xdr:colOff>
                    <xdr:row>11</xdr:row>
                    <xdr:rowOff>371475</xdr:rowOff>
                  </to>
                </anchor>
              </controlPr>
            </control>
          </mc:Choice>
        </mc:AlternateContent>
        <mc:AlternateContent xmlns:mc="http://schemas.openxmlformats.org/markup-compatibility/2006">
          <mc:Choice Requires="x14">
            <control shapeId="11270" r:id="rId10" name="Spinner 6">
              <controlPr defaultSize="0" autoPict="0">
                <anchor moveWithCells="1" sizeWithCells="1">
                  <from>
                    <xdr:col>3</xdr:col>
                    <xdr:colOff>9525</xdr:colOff>
                    <xdr:row>12</xdr:row>
                    <xdr:rowOff>9525</xdr:rowOff>
                  </from>
                  <to>
                    <xdr:col>3</xdr:col>
                    <xdr:colOff>304800</xdr:colOff>
                    <xdr:row>12</xdr:row>
                    <xdr:rowOff>371475</xdr:rowOff>
                  </to>
                </anchor>
              </controlPr>
            </control>
          </mc:Choice>
        </mc:AlternateContent>
        <mc:AlternateContent xmlns:mc="http://schemas.openxmlformats.org/markup-compatibility/2006">
          <mc:Choice Requires="x14">
            <control shapeId="11271" r:id="rId11" name="Spinner 7">
              <controlPr defaultSize="0" autoPict="0">
                <anchor moveWithCells="1" sizeWithCells="1">
                  <from>
                    <xdr:col>5</xdr:col>
                    <xdr:colOff>9525</xdr:colOff>
                    <xdr:row>16</xdr:row>
                    <xdr:rowOff>9525</xdr:rowOff>
                  </from>
                  <to>
                    <xdr:col>5</xdr:col>
                    <xdr:colOff>304800</xdr:colOff>
                    <xdr:row>16</xdr:row>
                    <xdr:rowOff>371475</xdr:rowOff>
                  </to>
                </anchor>
              </controlPr>
            </control>
          </mc:Choice>
        </mc:AlternateContent>
        <mc:AlternateContent xmlns:mc="http://schemas.openxmlformats.org/markup-compatibility/2006">
          <mc:Choice Requires="x14">
            <control shapeId="11272" r:id="rId12" name="Spinner 8">
              <controlPr defaultSize="0" autoPict="0">
                <anchor moveWithCells="1" sizeWithCells="1">
                  <from>
                    <xdr:col>5</xdr:col>
                    <xdr:colOff>9525</xdr:colOff>
                    <xdr:row>17</xdr:row>
                    <xdr:rowOff>9525</xdr:rowOff>
                  </from>
                  <to>
                    <xdr:col>5</xdr:col>
                    <xdr:colOff>304800</xdr:colOff>
                    <xdr:row>17</xdr:row>
                    <xdr:rowOff>371475</xdr:rowOff>
                  </to>
                </anchor>
              </controlPr>
            </control>
          </mc:Choice>
        </mc:AlternateContent>
        <mc:AlternateContent xmlns:mc="http://schemas.openxmlformats.org/markup-compatibility/2006">
          <mc:Choice Requires="x14">
            <control shapeId="11273" r:id="rId13" name="Spinner 9">
              <controlPr defaultSize="0" autoPict="0">
                <anchor moveWithCells="1" sizeWithCells="1">
                  <from>
                    <xdr:col>5</xdr:col>
                    <xdr:colOff>9525</xdr:colOff>
                    <xdr:row>18</xdr:row>
                    <xdr:rowOff>9525</xdr:rowOff>
                  </from>
                  <to>
                    <xdr:col>5</xdr:col>
                    <xdr:colOff>304800</xdr:colOff>
                    <xdr:row>18</xdr:row>
                    <xdr:rowOff>371475</xdr:rowOff>
                  </to>
                </anchor>
              </controlPr>
            </control>
          </mc:Choice>
        </mc:AlternateContent>
        <mc:AlternateContent xmlns:mc="http://schemas.openxmlformats.org/markup-compatibility/2006">
          <mc:Choice Requires="x14">
            <control shapeId="11274" r:id="rId14" name="Spinner 10">
              <controlPr defaultSize="0" autoPict="0">
                <anchor moveWithCells="1" sizeWithCells="1">
                  <from>
                    <xdr:col>5</xdr:col>
                    <xdr:colOff>9525</xdr:colOff>
                    <xdr:row>19</xdr:row>
                    <xdr:rowOff>9525</xdr:rowOff>
                  </from>
                  <to>
                    <xdr:col>5</xdr:col>
                    <xdr:colOff>304800</xdr:colOff>
                    <xdr:row>19</xdr:row>
                    <xdr:rowOff>371475</xdr:rowOff>
                  </to>
                </anchor>
              </controlPr>
            </control>
          </mc:Choice>
        </mc:AlternateContent>
        <mc:AlternateContent xmlns:mc="http://schemas.openxmlformats.org/markup-compatibility/2006">
          <mc:Choice Requires="x14">
            <control shapeId="11275" r:id="rId15" name="Spinner 11">
              <controlPr defaultSize="0" autoPict="0">
                <anchor moveWithCells="1" sizeWithCells="1">
                  <from>
                    <xdr:col>5</xdr:col>
                    <xdr:colOff>9525</xdr:colOff>
                    <xdr:row>20</xdr:row>
                    <xdr:rowOff>9525</xdr:rowOff>
                  </from>
                  <to>
                    <xdr:col>5</xdr:col>
                    <xdr:colOff>304800</xdr:colOff>
                    <xdr:row>20</xdr:row>
                    <xdr:rowOff>371475</xdr:rowOff>
                  </to>
                </anchor>
              </controlPr>
            </control>
          </mc:Choice>
        </mc:AlternateContent>
        <mc:AlternateContent xmlns:mc="http://schemas.openxmlformats.org/markup-compatibility/2006">
          <mc:Choice Requires="x14">
            <control shapeId="11276" r:id="rId16" name="Spinner 12">
              <controlPr defaultSize="0" autoPict="0">
                <anchor moveWithCells="1" sizeWithCells="1">
                  <from>
                    <xdr:col>5</xdr:col>
                    <xdr:colOff>9525</xdr:colOff>
                    <xdr:row>21</xdr:row>
                    <xdr:rowOff>9525</xdr:rowOff>
                  </from>
                  <to>
                    <xdr:col>5</xdr:col>
                    <xdr:colOff>304800</xdr:colOff>
                    <xdr:row>21</xdr:row>
                    <xdr:rowOff>371475</xdr:rowOff>
                  </to>
                </anchor>
              </controlPr>
            </control>
          </mc:Choice>
        </mc:AlternateContent>
        <mc:AlternateContent xmlns:mc="http://schemas.openxmlformats.org/markup-compatibility/2006">
          <mc:Choice Requires="x14">
            <control shapeId="11277" r:id="rId17" name="Spinner 13">
              <controlPr defaultSize="0" autoPict="0">
                <anchor moveWithCells="1" sizeWithCells="1">
                  <from>
                    <xdr:col>5</xdr:col>
                    <xdr:colOff>9525</xdr:colOff>
                    <xdr:row>22</xdr:row>
                    <xdr:rowOff>9525</xdr:rowOff>
                  </from>
                  <to>
                    <xdr:col>5</xdr:col>
                    <xdr:colOff>304800</xdr:colOff>
                    <xdr:row>22</xdr:row>
                    <xdr:rowOff>371475</xdr:rowOff>
                  </to>
                </anchor>
              </controlPr>
            </control>
          </mc:Choice>
        </mc:AlternateContent>
        <mc:AlternateContent xmlns:mc="http://schemas.openxmlformats.org/markup-compatibility/2006">
          <mc:Choice Requires="x14">
            <control shapeId="11278" r:id="rId18" name="Spinner 14">
              <controlPr defaultSize="0" autoPict="0">
                <anchor moveWithCells="1" sizeWithCells="1">
                  <from>
                    <xdr:col>5</xdr:col>
                    <xdr:colOff>9525</xdr:colOff>
                    <xdr:row>23</xdr:row>
                    <xdr:rowOff>9525</xdr:rowOff>
                  </from>
                  <to>
                    <xdr:col>5</xdr:col>
                    <xdr:colOff>304800</xdr:colOff>
                    <xdr:row>23</xdr:row>
                    <xdr:rowOff>371475</xdr:rowOff>
                  </to>
                </anchor>
              </controlPr>
            </control>
          </mc:Choice>
        </mc:AlternateContent>
        <mc:AlternateContent xmlns:mc="http://schemas.openxmlformats.org/markup-compatibility/2006">
          <mc:Choice Requires="x14">
            <control shapeId="11279" r:id="rId19" name="Spinner 15">
              <controlPr defaultSize="0" autoPict="0">
                <anchor moveWithCells="1" sizeWithCells="1">
                  <from>
                    <xdr:col>3</xdr:col>
                    <xdr:colOff>9525</xdr:colOff>
                    <xdr:row>5</xdr:row>
                    <xdr:rowOff>9525</xdr:rowOff>
                  </from>
                  <to>
                    <xdr:col>3</xdr:col>
                    <xdr:colOff>304800</xdr:colOff>
                    <xdr:row>6</xdr:row>
                    <xdr:rowOff>180975</xdr:rowOff>
                  </to>
                </anchor>
              </controlPr>
            </control>
          </mc:Choice>
        </mc:AlternateContent>
        <mc:AlternateContent xmlns:mc="http://schemas.openxmlformats.org/markup-compatibility/2006">
          <mc:Choice Requires="x14">
            <control shapeId="11280" r:id="rId20" name="Spinner 16">
              <controlPr defaultSize="0" autoPict="0">
                <anchor moveWithCells="1" sizeWithCells="1">
                  <from>
                    <xdr:col>3</xdr:col>
                    <xdr:colOff>9525</xdr:colOff>
                    <xdr:row>7</xdr:row>
                    <xdr:rowOff>9525</xdr:rowOff>
                  </from>
                  <to>
                    <xdr:col>3</xdr:col>
                    <xdr:colOff>304800</xdr:colOff>
                    <xdr:row>8</xdr:row>
                    <xdr:rowOff>180975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1" id="{1AAB52A1-C93D-467B-B0B1-6E8823875005}">
            <xm:f>Übersicht!$B$45&lt;Übersicht!$B$47</xm:f>
            <x14:dxf>
              <font>
                <color theme="1"/>
              </font>
              <fill>
                <patternFill>
                  <bgColor theme="1"/>
                </patternFill>
              </fill>
            </x14:dxf>
          </x14:cfRule>
          <xm:sqref>B5:C5 E4:I5 B6:I14 B15:H15 H16:I24 B4 B16:F24</xm:sqref>
        </x14:conditionalFormatting>
        <x14:conditionalFormatting xmlns:xm="http://schemas.microsoft.com/office/excel/2006/main">
          <x14:cfRule type="expression" priority="15" id="{F2DF12E5-0D17-453E-8BB9-4977B61225EB}">
            <xm:f>Übersicht!$B$45&lt;Übersicht!$B$47</xm:f>
            <x14:dxf>
              <font>
                <color theme="1"/>
              </font>
              <fill>
                <patternFill>
                  <bgColor theme="1"/>
                </patternFill>
              </fill>
            </x14:dxf>
          </x14:cfRule>
          <xm:sqref>M12</xm:sqref>
        </x14:conditionalFormatting>
        <x14:conditionalFormatting xmlns:xm="http://schemas.microsoft.com/office/excel/2006/main">
          <x14:cfRule type="expression" priority="13" id="{313B753B-A3D9-4F40-B9C0-439D75177233}">
            <xm:f>Übersicht!$B$45&lt;Übersicht!$B$47</xm:f>
            <x14:dxf>
              <font>
                <color theme="1"/>
              </font>
              <fill>
                <patternFill>
                  <bgColor theme="1"/>
                </patternFill>
              </fill>
            </x14:dxf>
          </x14:cfRule>
          <xm:sqref>L12</xm:sqref>
        </x14:conditionalFormatting>
        <x14:conditionalFormatting xmlns:xm="http://schemas.microsoft.com/office/excel/2006/main">
          <x14:cfRule type="expression" priority="9" id="{C3806D1D-4013-46BB-9B05-E37508FA47BA}">
            <xm:f>Übersicht!$B$45&lt;Übersicht!$B$47</xm:f>
            <x14:dxf>
              <font>
                <color theme="1"/>
              </font>
              <fill>
                <patternFill>
                  <bgColor theme="1"/>
                </patternFill>
              </fill>
            </x14:dxf>
          </x14:cfRule>
          <xm:sqref>G16:G24</xm:sqref>
        </x14:conditionalFormatting>
        <x14:conditionalFormatting xmlns:xm="http://schemas.microsoft.com/office/excel/2006/main">
          <x14:cfRule type="expression" priority="7" id="{C191366D-FB85-4691-AAE6-55EC2467BE0F}">
            <xm:f>Übersicht!$B$45&lt;Übersicht!$B$47</xm:f>
            <x14:dxf>
              <font>
                <color theme="1"/>
              </font>
              <fill>
                <patternFill>
                  <bgColor theme="1"/>
                </patternFill>
              </fill>
            </x14:dxf>
          </x14:cfRule>
          <xm:sqref>B25:B26</xm:sqref>
        </x14:conditionalFormatting>
        <x14:conditionalFormatting xmlns:xm="http://schemas.microsoft.com/office/excel/2006/main">
          <x14:cfRule type="expression" priority="6" id="{B2E3DF83-CB5F-4B02-838A-941D2D87F438}">
            <xm:f>Übersicht!$B$45&lt;Übersicht!$B$47</xm:f>
            <x14:dxf>
              <font>
                <color theme="1"/>
              </font>
              <fill>
                <patternFill>
                  <bgColor theme="1"/>
                </patternFill>
              </fill>
            </x14:dxf>
          </x14:cfRule>
          <xm:sqref>F25:F26</xm:sqref>
        </x14:conditionalFormatting>
        <x14:conditionalFormatting xmlns:xm="http://schemas.microsoft.com/office/excel/2006/main">
          <x14:cfRule type="expression" priority="4" id="{4FE2C3D0-E449-4D79-AC00-B40ABF18B4F1}">
            <xm:f>Übersicht!$B$45&lt;Übersicht!$B$47</xm:f>
            <x14:dxf>
              <font>
                <color theme="1"/>
              </font>
              <fill>
                <patternFill>
                  <bgColor theme="1"/>
                </patternFill>
              </fill>
            </x14:dxf>
          </x14:cfRule>
          <xm:sqref>I15</xm:sqref>
        </x14:conditionalFormatting>
        <x14:conditionalFormatting xmlns:xm="http://schemas.microsoft.com/office/excel/2006/main">
          <x14:cfRule type="expression" priority="3" id="{8CAB2D1B-A11F-495A-ADD2-F5AED20E7116}">
            <xm:f>Übersicht!$B$45&lt;Übersicht!$B$47</xm:f>
            <x14:dxf>
              <font>
                <color theme="1"/>
              </font>
              <fill>
                <patternFill>
                  <bgColor theme="1"/>
                </patternFill>
              </fill>
            </x14:dxf>
          </x14:cfRule>
          <xm:sqref>C4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38"/>
  <sheetViews>
    <sheetView showGridLines="0" workbookViewId="0">
      <selection activeCell="C4" sqref="C4:D4"/>
    </sheetView>
  </sheetViews>
  <sheetFormatPr baseColWidth="10" defaultRowHeight="15" x14ac:dyDescent="0.25"/>
  <cols>
    <col min="1" max="1" width="11.42578125" style="94"/>
    <col min="2" max="2" width="16.7109375" style="94" customWidth="1"/>
    <col min="3" max="3" width="12.7109375" style="94" customWidth="1"/>
    <col min="4" max="4" width="4.7109375" style="94" customWidth="1"/>
    <col min="5" max="5" width="14.7109375" style="94" customWidth="1"/>
    <col min="6" max="6" width="4.7109375" style="94" customWidth="1"/>
    <col min="7" max="7" width="15.7109375" style="279" customWidth="1"/>
    <col min="8" max="9" width="15.7109375" style="94" customWidth="1"/>
    <col min="10" max="10" width="18.28515625" style="94" customWidth="1"/>
    <col min="11" max="11" width="7.7109375" style="279" hidden="1" customWidth="1"/>
    <col min="12" max="12" width="11.85546875" style="151" hidden="1" customWidth="1"/>
    <col min="13" max="15" width="14.140625" style="279" hidden="1" customWidth="1"/>
    <col min="16" max="16" width="16.85546875" style="279" customWidth="1"/>
  </cols>
  <sheetData>
    <row r="1" spans="1:40" s="94" customFormat="1" ht="15" customHeight="1" x14ac:dyDescent="0.2">
      <c r="A1" s="92"/>
      <c r="B1" s="92"/>
      <c r="C1" s="92"/>
      <c r="D1" s="93"/>
      <c r="E1" s="92"/>
      <c r="F1" s="92"/>
      <c r="H1" s="92"/>
      <c r="I1" s="93"/>
      <c r="K1" s="96"/>
      <c r="L1" s="95"/>
    </row>
    <row r="2" spans="1:40" s="92" customFormat="1" ht="40.5" customHeight="1" x14ac:dyDescent="0.25">
      <c r="A2" s="97"/>
      <c r="B2" s="431" t="s">
        <v>49</v>
      </c>
      <c r="C2" s="431"/>
      <c r="D2" s="431"/>
      <c r="E2" s="441" t="s">
        <v>140</v>
      </c>
      <c r="F2" s="441"/>
      <c r="G2" s="441"/>
      <c r="H2" s="441"/>
      <c r="I2" s="260"/>
      <c r="K2" s="95"/>
      <c r="L2" s="95"/>
      <c r="AK2" s="94"/>
      <c r="AL2" s="94"/>
      <c r="AM2" s="94"/>
      <c r="AN2" s="94"/>
    </row>
    <row r="3" spans="1:40" s="99" customFormat="1" ht="15" customHeight="1" x14ac:dyDescent="0.2">
      <c r="A3" s="97"/>
      <c r="B3" s="432"/>
      <c r="C3" s="432"/>
      <c r="D3" s="98"/>
      <c r="E3" s="134"/>
      <c r="F3" s="134"/>
      <c r="H3" s="227"/>
      <c r="I3" s="98"/>
      <c r="K3" s="101"/>
      <c r="L3" s="250"/>
      <c r="M3" s="308" t="s">
        <v>156</v>
      </c>
      <c r="P3" s="92"/>
    </row>
    <row r="4" spans="1:40" s="99" customFormat="1" ht="30" customHeight="1" x14ac:dyDescent="0.2">
      <c r="A4" s="97"/>
      <c r="B4" s="129" t="s">
        <v>83</v>
      </c>
      <c r="C4" s="462">
        <v>1</v>
      </c>
      <c r="D4" s="463"/>
      <c r="E4" s="265"/>
      <c r="G4" s="266" t="s">
        <v>123</v>
      </c>
      <c r="H4" s="270" t="str">
        <f>M15</f>
        <v>Energiebedarf</v>
      </c>
      <c r="I4" s="270" t="s">
        <v>122</v>
      </c>
      <c r="L4" s="97"/>
      <c r="M4" s="310" t="s">
        <v>160</v>
      </c>
    </row>
    <row r="5" spans="1:40" s="99" customFormat="1" ht="30" customHeight="1" x14ac:dyDescent="0.2">
      <c r="A5" s="97"/>
      <c r="B5" s="129" t="s">
        <v>86</v>
      </c>
      <c r="C5" s="462">
        <v>7</v>
      </c>
      <c r="D5" s="463"/>
      <c r="E5" s="264"/>
      <c r="H5" s="271">
        <f t="shared" ref="H5:H13" si="0">M16</f>
        <v>141.02799999999999</v>
      </c>
      <c r="I5" s="271">
        <f>N16+O16</f>
        <v>121.93420480838316</v>
      </c>
      <c r="L5" s="97"/>
      <c r="M5" s="309" t="s">
        <v>158</v>
      </c>
    </row>
    <row r="6" spans="1:40" s="99" customFormat="1" ht="15" customHeight="1" x14ac:dyDescent="0.2">
      <c r="A6" s="97"/>
      <c r="B6" s="442" t="s">
        <v>107</v>
      </c>
      <c r="C6" s="446">
        <f>K6/10</f>
        <v>3.4</v>
      </c>
      <c r="D6" s="452"/>
      <c r="E6" s="264"/>
      <c r="H6" s="271">
        <f t="shared" si="0"/>
        <v>150.88</v>
      </c>
      <c r="I6" s="271">
        <f t="shared" ref="I6:I13" si="1">N17+O17</f>
        <v>131.7282882750473</v>
      </c>
      <c r="K6" s="459">
        <v>34</v>
      </c>
      <c r="L6" s="97"/>
    </row>
    <row r="7" spans="1:40" s="99" customFormat="1" ht="15" customHeight="1" x14ac:dyDescent="0.2">
      <c r="A7" s="97"/>
      <c r="B7" s="443"/>
      <c r="C7" s="447"/>
      <c r="D7" s="452"/>
      <c r="E7" s="264"/>
      <c r="H7" s="271">
        <f t="shared" si="0"/>
        <v>150.88</v>
      </c>
      <c r="I7" s="271">
        <f t="shared" si="1"/>
        <v>135.41790474752568</v>
      </c>
      <c r="K7" s="459"/>
      <c r="L7" s="251"/>
    </row>
    <row r="8" spans="1:40" s="99" customFormat="1" ht="15" customHeight="1" x14ac:dyDescent="0.2">
      <c r="A8" s="97"/>
      <c r="B8" s="442" t="s">
        <v>108</v>
      </c>
      <c r="C8" s="448">
        <f>K8/10</f>
        <v>4</v>
      </c>
      <c r="D8" s="453"/>
      <c r="E8" s="264"/>
      <c r="H8" s="271">
        <f t="shared" si="0"/>
        <v>144.31200000000001</v>
      </c>
      <c r="I8" s="271">
        <f t="shared" si="1"/>
        <v>135.72704379107211</v>
      </c>
      <c r="K8" s="460">
        <v>40</v>
      </c>
      <c r="L8" s="251"/>
    </row>
    <row r="9" spans="1:40" s="99" customFormat="1" ht="15" customHeight="1" x14ac:dyDescent="0.2">
      <c r="A9" s="97"/>
      <c r="B9" s="443" t="s">
        <v>108</v>
      </c>
      <c r="C9" s="449"/>
      <c r="D9" s="454"/>
      <c r="E9" s="264"/>
      <c r="H9" s="271">
        <f t="shared" si="0"/>
        <v>141.02799999999999</v>
      </c>
      <c r="I9" s="271">
        <f t="shared" si="1"/>
        <v>134.77255668589359</v>
      </c>
      <c r="K9" s="461"/>
      <c r="L9" s="251"/>
    </row>
    <row r="10" spans="1:40" s="99" customFormat="1" ht="15" customHeight="1" x14ac:dyDescent="0.2">
      <c r="A10" s="97"/>
      <c r="B10" s="444" t="s">
        <v>63</v>
      </c>
      <c r="C10" s="450">
        <v>610</v>
      </c>
      <c r="D10" s="455"/>
      <c r="E10" s="264"/>
      <c r="H10" s="271">
        <f t="shared" si="0"/>
        <v>134.45999999999998</v>
      </c>
      <c r="I10" s="271">
        <f t="shared" si="1"/>
        <v>130.4820962989499</v>
      </c>
      <c r="K10" s="101"/>
      <c r="L10" s="251"/>
    </row>
    <row r="11" spans="1:40" s="94" customFormat="1" ht="15" customHeight="1" x14ac:dyDescent="0.2">
      <c r="B11" s="445"/>
      <c r="C11" s="451"/>
      <c r="D11" s="456"/>
      <c r="E11" s="264"/>
      <c r="F11" s="99"/>
      <c r="G11" s="264"/>
      <c r="H11" s="271">
        <f t="shared" si="0"/>
        <v>127.892</v>
      </c>
      <c r="I11" s="271">
        <f t="shared" si="1"/>
        <v>125.91098596766548</v>
      </c>
      <c r="K11" s="318" t="s">
        <v>164</v>
      </c>
      <c r="L11" s="318" t="s">
        <v>163</v>
      </c>
    </row>
    <row r="12" spans="1:40" s="94" customFormat="1" ht="30" customHeight="1" x14ac:dyDescent="0.2">
      <c r="A12" s="269"/>
      <c r="B12" s="104" t="s">
        <v>165</v>
      </c>
      <c r="C12" s="272">
        <f>K12/10</f>
        <v>6.7</v>
      </c>
      <c r="D12" s="105"/>
      <c r="E12" s="264"/>
      <c r="F12" s="99"/>
      <c r="G12" s="264"/>
      <c r="H12" s="271">
        <f t="shared" si="0"/>
        <v>114.756</v>
      </c>
      <c r="I12" s="271">
        <f t="shared" si="1"/>
        <v>117.69211351484532</v>
      </c>
      <c r="K12" s="317">
        <v>67</v>
      </c>
      <c r="L12" s="320">
        <f>C12/88*100</f>
        <v>7.6136363636363642</v>
      </c>
      <c r="M12" s="434" t="s">
        <v>167</v>
      </c>
      <c r="N12" s="435"/>
      <c r="O12" s="435"/>
    </row>
    <row r="13" spans="1:40" s="94" customFormat="1" ht="30" customHeight="1" x14ac:dyDescent="0.2">
      <c r="B13" s="104" t="s">
        <v>66</v>
      </c>
      <c r="C13" s="272">
        <f>K13/10</f>
        <v>6.2</v>
      </c>
      <c r="D13" s="105"/>
      <c r="E13" s="264"/>
      <c r="F13" s="99"/>
      <c r="G13" s="264"/>
      <c r="H13" s="271">
        <f t="shared" si="0"/>
        <v>108.18799999999999</v>
      </c>
      <c r="I13" s="271">
        <f t="shared" si="1"/>
        <v>114.40059773607317</v>
      </c>
      <c r="K13" s="283">
        <v>62</v>
      </c>
      <c r="L13" s="251"/>
      <c r="M13" s="309" t="s">
        <v>157</v>
      </c>
    </row>
    <row r="14" spans="1:40" s="94" customFormat="1" ht="15" customHeight="1" x14ac:dyDescent="0.2">
      <c r="A14" s="135"/>
      <c r="B14" s="135"/>
      <c r="C14" s="135"/>
      <c r="D14" s="103"/>
      <c r="E14" s="273"/>
      <c r="H14" s="103"/>
      <c r="I14" s="103"/>
      <c r="J14" s="103"/>
      <c r="K14" s="96"/>
      <c r="L14" s="95"/>
      <c r="M14" s="309" t="s">
        <v>156</v>
      </c>
    </row>
    <row r="15" spans="1:40" s="274" customFormat="1" ht="30" customHeight="1" x14ac:dyDescent="0.25">
      <c r="A15" s="135"/>
      <c r="B15" s="136" t="s">
        <v>62</v>
      </c>
      <c r="C15" s="436" t="s">
        <v>87</v>
      </c>
      <c r="D15" s="437"/>
      <c r="E15" s="316">
        <v>40</v>
      </c>
      <c r="F15" s="105"/>
      <c r="G15" s="102" t="s">
        <v>121</v>
      </c>
      <c r="H15" s="102" t="s">
        <v>88</v>
      </c>
      <c r="I15" s="102" t="s">
        <v>176</v>
      </c>
      <c r="J15" s="262" t="s">
        <v>124</v>
      </c>
      <c r="L15" s="95"/>
      <c r="M15" s="275" t="s">
        <v>118</v>
      </c>
      <c r="N15" s="275" t="s">
        <v>119</v>
      </c>
      <c r="O15" s="275" t="s">
        <v>120</v>
      </c>
    </row>
    <row r="16" spans="1:40" s="279" customFormat="1" ht="30" customHeight="1" x14ac:dyDescent="0.2">
      <c r="A16" s="261"/>
      <c r="B16" s="137">
        <v>20</v>
      </c>
      <c r="C16" s="438">
        <f>INDEX(Lakkurve!$B$6:$L$14,MATCH(B16,Lakkurve!$A$6:$A$14,0),MATCH($C$5,Lakkurve!$B$4:$L$4,0))</f>
        <v>32</v>
      </c>
      <c r="D16" s="439"/>
      <c r="E16" s="466">
        <f>$E$15/100*H16*100/88</f>
        <v>8.1923007799236203</v>
      </c>
      <c r="F16" s="467"/>
      <c r="G16" s="277">
        <f>H16-(E16*88/100)</f>
        <v>10.813837029499176</v>
      </c>
      <c r="H16" s="278">
        <f>'F5'!F$35</f>
        <v>18.023061715831961</v>
      </c>
      <c r="I16" s="253">
        <f t="shared" ref="I16:I24" si="2">-M16+N16+O16</f>
        <v>-19.093795191616834</v>
      </c>
      <c r="J16" s="261">
        <v>-10</v>
      </c>
      <c r="K16" s="274"/>
      <c r="L16" s="95"/>
      <c r="M16" s="306">
        <f>Bedarf!$C$32+Bedarf!$H$32*C16</f>
        <v>141.02799999999999</v>
      </c>
      <c r="N16" s="281">
        <f>$C$12*E16</f>
        <v>54.888415225488259</v>
      </c>
      <c r="O16" s="280">
        <f>$C$13*G16</f>
        <v>67.045789582894898</v>
      </c>
    </row>
    <row r="17" spans="1:63" s="279" customFormat="1" ht="30" customHeight="1" x14ac:dyDescent="0.2">
      <c r="A17" s="261"/>
      <c r="B17" s="137">
        <v>40</v>
      </c>
      <c r="C17" s="438">
        <f>INDEX(Lakkurve!$B$6:$L$14,MATCH(B17,Lakkurve!$A$6:$A$14,0),MATCH($C$5,Lakkurve!$B$4:$L$4,0))</f>
        <v>35</v>
      </c>
      <c r="D17" s="439"/>
      <c r="E17" s="466">
        <f t="shared" ref="E17:E24" si="3">$E$15/100*H17*100/88</f>
        <v>8.8503284248217753</v>
      </c>
      <c r="F17" s="467"/>
      <c r="G17" s="277">
        <f t="shared" ref="G17:G24" si="4">H17-(E17*88/100)</f>
        <v>11.682433520764743</v>
      </c>
      <c r="H17" s="278">
        <f>'F5'!G$35</f>
        <v>19.470722534607905</v>
      </c>
      <c r="I17" s="253">
        <f t="shared" si="2"/>
        <v>-19.15171172495269</v>
      </c>
      <c r="J17" s="261">
        <v>-10</v>
      </c>
      <c r="K17" s="274"/>
      <c r="L17" s="95"/>
      <c r="M17" s="306">
        <f>Bedarf!$C$32+Bedarf!$H$32*C17</f>
        <v>150.88</v>
      </c>
      <c r="N17" s="281">
        <f t="shared" ref="N17:N24" si="5">$C$12*E17</f>
        <v>59.297200446305894</v>
      </c>
      <c r="O17" s="280">
        <f t="shared" ref="O17:O24" si="6">$C$13*G17</f>
        <v>72.431087828741411</v>
      </c>
    </row>
    <row r="18" spans="1:63" s="279" customFormat="1" ht="30" customHeight="1" x14ac:dyDescent="0.2">
      <c r="A18" s="261"/>
      <c r="B18" s="137">
        <v>60</v>
      </c>
      <c r="C18" s="438">
        <f>INDEX(Lakkurve!$B$6:$L$14,MATCH(B18,Lakkurve!$A$6:$A$14,0),MATCH($C$5,Lakkurve!$B$4:$L$4,0))</f>
        <v>35</v>
      </c>
      <c r="D18" s="439"/>
      <c r="E18" s="466">
        <f t="shared" si="3"/>
        <v>9.0982198836015655</v>
      </c>
      <c r="F18" s="467"/>
      <c r="G18" s="277">
        <f t="shared" si="4"/>
        <v>12.009650246354063</v>
      </c>
      <c r="H18" s="278">
        <f>'F5'!H$35</f>
        <v>20.016083743923442</v>
      </c>
      <c r="I18" s="253">
        <f t="shared" si="2"/>
        <v>-15.462095252474299</v>
      </c>
      <c r="J18" s="261">
        <v>-10</v>
      </c>
      <c r="K18" s="274"/>
      <c r="L18" s="95"/>
      <c r="M18" s="306">
        <f>Bedarf!$C$32+Bedarf!$H$32*C18</f>
        <v>150.88</v>
      </c>
      <c r="N18" s="281">
        <f t="shared" si="5"/>
        <v>60.958073220130494</v>
      </c>
      <c r="O18" s="280">
        <f t="shared" si="6"/>
        <v>74.459831527395195</v>
      </c>
    </row>
    <row r="19" spans="1:63" s="279" customFormat="1" ht="30" customHeight="1" x14ac:dyDescent="0.2">
      <c r="A19" s="261"/>
      <c r="B19" s="137">
        <v>100</v>
      </c>
      <c r="C19" s="438">
        <f>INDEX(Lakkurve!$B$6:$L$14,MATCH(B19,Lakkurve!$A$6:$A$14,0),MATCH($C$5,Lakkurve!$B$4:$L$4,0))</f>
        <v>33</v>
      </c>
      <c r="D19" s="439"/>
      <c r="E19" s="466">
        <f t="shared" si="3"/>
        <v>9.1189897736544019</v>
      </c>
      <c r="F19" s="467"/>
      <c r="G19" s="277">
        <f t="shared" si="4"/>
        <v>12.037066501223809</v>
      </c>
      <c r="H19" s="278">
        <f>'F5'!I$35</f>
        <v>20.061777502039682</v>
      </c>
      <c r="I19" s="253">
        <f t="shared" si="2"/>
        <v>-8.5849562089279061</v>
      </c>
      <c r="J19" s="261">
        <f>0</f>
        <v>0</v>
      </c>
      <c r="K19" s="274"/>
      <c r="L19" s="95"/>
      <c r="M19" s="306">
        <f>Bedarf!$C$32+Bedarf!$H$32*C19</f>
        <v>144.31200000000001</v>
      </c>
      <c r="N19" s="281">
        <f t="shared" si="5"/>
        <v>61.097231483484492</v>
      </c>
      <c r="O19" s="280">
        <f t="shared" si="6"/>
        <v>74.629812307587613</v>
      </c>
    </row>
    <row r="20" spans="1:63" s="279" customFormat="1" ht="30" customHeight="1" x14ac:dyDescent="0.2">
      <c r="A20" s="261"/>
      <c r="B20" s="137">
        <v>150</v>
      </c>
      <c r="C20" s="438">
        <f>INDEX(Lakkurve!$B$6:$L$14,MATCH(B20,Lakkurve!$A$6:$A$14,0),MATCH($C$5,Lakkurve!$B$4:$L$4,0))</f>
        <v>32</v>
      </c>
      <c r="D20" s="439"/>
      <c r="E20" s="466">
        <f t="shared" si="3"/>
        <v>9.0548613736827193</v>
      </c>
      <c r="F20" s="467"/>
      <c r="G20" s="277">
        <f t="shared" si="4"/>
        <v>11.952417013261186</v>
      </c>
      <c r="H20" s="278">
        <f>'F5'!J$35</f>
        <v>19.920695022101981</v>
      </c>
      <c r="I20" s="253">
        <f t="shared" si="2"/>
        <v>-6.2554433141064152</v>
      </c>
      <c r="J20" s="261">
        <f>0</f>
        <v>0</v>
      </c>
      <c r="K20" s="274"/>
      <c r="L20" s="95"/>
      <c r="M20" s="306">
        <f>Bedarf!$C$32+Bedarf!$H$32*C20</f>
        <v>141.02799999999999</v>
      </c>
      <c r="N20" s="281">
        <f t="shared" si="5"/>
        <v>60.667571203674221</v>
      </c>
      <c r="O20" s="280">
        <f t="shared" si="6"/>
        <v>74.104985482219362</v>
      </c>
    </row>
    <row r="21" spans="1:63" s="279" customFormat="1" ht="30" customHeight="1" x14ac:dyDescent="0.2">
      <c r="A21" s="261"/>
      <c r="B21" s="137">
        <v>200</v>
      </c>
      <c r="C21" s="438">
        <f>INDEX(Lakkurve!$B$6:$L$14,MATCH(B21,Lakkurve!$A$6:$A$14,0),MATCH($C$5,Lakkurve!$B$4:$L$4,0))</f>
        <v>30</v>
      </c>
      <c r="D21" s="439"/>
      <c r="E21" s="466">
        <f t="shared" si="3"/>
        <v>8.7666014713081086</v>
      </c>
      <c r="F21" s="467"/>
      <c r="G21" s="277">
        <f t="shared" si="4"/>
        <v>11.571913942126702</v>
      </c>
      <c r="H21" s="278">
        <f>'F5'!K$35</f>
        <v>19.286523236877837</v>
      </c>
      <c r="I21" s="253">
        <f t="shared" si="2"/>
        <v>-3.9779037010500957</v>
      </c>
      <c r="J21" s="261">
        <v>5</v>
      </c>
      <c r="K21" s="274"/>
      <c r="L21" s="95"/>
      <c r="M21" s="306">
        <f>Bedarf!$C$32+Bedarf!$H$32*C21</f>
        <v>134.45999999999998</v>
      </c>
      <c r="N21" s="281">
        <f t="shared" si="5"/>
        <v>58.736229857764329</v>
      </c>
      <c r="O21" s="280">
        <f t="shared" si="6"/>
        <v>71.745866441185555</v>
      </c>
    </row>
    <row r="22" spans="1:63" s="279" customFormat="1" ht="30" customHeight="1" x14ac:dyDescent="0.2">
      <c r="A22" s="261"/>
      <c r="B22" s="137">
        <v>250</v>
      </c>
      <c r="C22" s="438">
        <f>INDEX(Lakkurve!$B$6:$L$14,MATCH(B22,Lakkurve!$A$6:$A$14,0),MATCH($C$5,Lakkurve!$B$4:$L$4,0))</f>
        <v>28</v>
      </c>
      <c r="D22" s="439"/>
      <c r="E22" s="466">
        <f t="shared" si="3"/>
        <v>8.4594857543446302</v>
      </c>
      <c r="F22" s="467"/>
      <c r="G22" s="277">
        <f t="shared" si="4"/>
        <v>11.166521195734912</v>
      </c>
      <c r="H22" s="278">
        <f>'F5'!L$35</f>
        <v>18.610868659558186</v>
      </c>
      <c r="I22" s="253">
        <f t="shared" si="2"/>
        <v>-1.9810140323345138</v>
      </c>
      <c r="J22" s="261">
        <v>5</v>
      </c>
      <c r="K22" s="274"/>
      <c r="L22" s="95"/>
      <c r="M22" s="306">
        <f>Bedarf!$C$32+Bedarf!$H$32*C22</f>
        <v>127.892</v>
      </c>
      <c r="N22" s="281">
        <f t="shared" si="5"/>
        <v>56.678554554109027</v>
      </c>
      <c r="O22" s="280">
        <f t="shared" si="6"/>
        <v>69.232431413556455</v>
      </c>
    </row>
    <row r="23" spans="1:63" s="279" customFormat="1" ht="30" customHeight="1" x14ac:dyDescent="0.2">
      <c r="A23" s="261"/>
      <c r="B23" s="137">
        <v>300</v>
      </c>
      <c r="C23" s="438">
        <f>INDEX(Lakkurve!$B$6:$L$14,MATCH(B23,Lakkurve!$A$6:$A$14,0),MATCH($C$5,Lakkurve!$B$4:$L$4,0))</f>
        <v>24</v>
      </c>
      <c r="D23" s="439"/>
      <c r="E23" s="466">
        <f t="shared" si="3"/>
        <v>7.9072906150796367</v>
      </c>
      <c r="F23" s="467"/>
      <c r="G23" s="277">
        <f t="shared" si="4"/>
        <v>10.437623611905121</v>
      </c>
      <c r="H23" s="278">
        <f>'F5'!M$35</f>
        <v>17.396039353175201</v>
      </c>
      <c r="I23" s="253">
        <f t="shared" si="2"/>
        <v>2.9361135148453172</v>
      </c>
      <c r="J23" s="261">
        <v>10</v>
      </c>
      <c r="K23" s="274"/>
      <c r="L23" s="95"/>
      <c r="M23" s="306">
        <f>Bedarf!$C$32+Bedarf!$H$32*C23</f>
        <v>114.756</v>
      </c>
      <c r="N23" s="281">
        <f t="shared" si="5"/>
        <v>52.978847121033567</v>
      </c>
      <c r="O23" s="280">
        <f t="shared" si="6"/>
        <v>64.71326639381175</v>
      </c>
    </row>
    <row r="24" spans="1:63" s="279" customFormat="1" ht="30" customHeight="1" x14ac:dyDescent="0.2">
      <c r="A24" s="261"/>
      <c r="B24" s="137">
        <v>350</v>
      </c>
      <c r="C24" s="438">
        <f>INDEX(Lakkurve!$B$6:$L$14,MATCH(B24,Lakkurve!$A$6:$A$14,0),MATCH($C$5,Lakkurve!$B$4:$L$4,0))</f>
        <v>22</v>
      </c>
      <c r="D24" s="439"/>
      <c r="E24" s="466">
        <f t="shared" si="3"/>
        <v>7.6861460451540689</v>
      </c>
      <c r="F24" s="467"/>
      <c r="G24" s="277">
        <f t="shared" si="4"/>
        <v>10.145712779603372</v>
      </c>
      <c r="H24" s="278">
        <f>'F5'!N$35</f>
        <v>16.909521299338952</v>
      </c>
      <c r="I24" s="253">
        <f t="shared" si="2"/>
        <v>6.2125977360731852</v>
      </c>
      <c r="J24" s="261">
        <v>10</v>
      </c>
      <c r="K24" s="274"/>
      <c r="L24" s="95"/>
      <c r="M24" s="306">
        <f>Bedarf!$C$32+Bedarf!$H$32*C24</f>
        <v>108.18799999999999</v>
      </c>
      <c r="N24" s="281">
        <f t="shared" si="5"/>
        <v>51.497178502532265</v>
      </c>
      <c r="O24" s="280">
        <f t="shared" si="6"/>
        <v>62.903419233540909</v>
      </c>
    </row>
    <row r="25" spans="1:63" s="279" customFormat="1" ht="14.25" x14ac:dyDescent="0.2">
      <c r="A25" s="94"/>
      <c r="B25" s="329" t="s">
        <v>170</v>
      </c>
      <c r="C25" s="94"/>
      <c r="D25" s="94"/>
      <c r="E25" s="324"/>
      <c r="F25" s="329" t="s">
        <v>174</v>
      </c>
      <c r="H25" s="94"/>
      <c r="I25" s="94"/>
      <c r="J25" s="94"/>
      <c r="L25" s="151"/>
    </row>
    <row r="26" spans="1:63" s="279" customFormat="1" ht="14.25" x14ac:dyDescent="0.2">
      <c r="A26" s="94"/>
      <c r="B26" s="329"/>
      <c r="C26" s="94"/>
      <c r="D26" s="94"/>
      <c r="E26" s="331"/>
      <c r="F26" s="329" t="s">
        <v>177</v>
      </c>
      <c r="H26" s="94"/>
      <c r="I26" s="94"/>
      <c r="J26" s="94"/>
      <c r="L26" s="151"/>
    </row>
    <row r="27" spans="1:63" s="143" customFormat="1" ht="11.25" customHeight="1" x14ac:dyDescent="0.2">
      <c r="A27" s="138"/>
      <c r="B27" s="139" t="s">
        <v>89</v>
      </c>
      <c r="C27" s="140"/>
      <c r="D27" s="140"/>
      <c r="E27" s="140"/>
      <c r="F27" s="140"/>
      <c r="G27" s="140"/>
      <c r="H27" s="140"/>
      <c r="I27" s="140"/>
      <c r="J27" s="150"/>
      <c r="K27" s="142"/>
      <c r="L27" s="252"/>
      <c r="M27" s="142"/>
      <c r="N27" s="142"/>
      <c r="O27" s="142"/>
      <c r="P27" s="142"/>
      <c r="Q27" s="142"/>
      <c r="R27" s="142"/>
    </row>
    <row r="28" spans="1:63" s="147" customFormat="1" ht="11.25" customHeight="1" x14ac:dyDescent="0.2">
      <c r="A28" s="144"/>
      <c r="B28" s="145" t="s">
        <v>90</v>
      </c>
      <c r="C28" s="146"/>
      <c r="D28" s="146"/>
      <c r="E28" s="146"/>
      <c r="F28" s="146"/>
      <c r="G28" s="146"/>
      <c r="H28" s="146"/>
      <c r="I28" s="146"/>
      <c r="J28" s="150"/>
      <c r="K28" s="94"/>
      <c r="L28" s="92"/>
      <c r="M28" s="94"/>
      <c r="N28" s="94"/>
      <c r="O28" s="94"/>
      <c r="P28" s="94"/>
      <c r="Q28" s="94"/>
      <c r="R28" s="94"/>
    </row>
    <row r="29" spans="1:63" s="147" customFormat="1" ht="11.25" customHeight="1" x14ac:dyDescent="0.2">
      <c r="A29" s="144"/>
      <c r="B29" s="148" t="s">
        <v>91</v>
      </c>
      <c r="C29" s="149"/>
      <c r="D29" s="149"/>
      <c r="E29" s="149"/>
      <c r="F29" s="149"/>
      <c r="G29" s="149"/>
      <c r="H29" s="149"/>
      <c r="I29" s="149"/>
      <c r="J29" s="150"/>
      <c r="K29" s="94"/>
      <c r="L29" s="92"/>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Z29" s="94"/>
      <c r="BA29" s="94"/>
      <c r="BB29" s="94"/>
      <c r="BC29" s="94"/>
      <c r="BD29" s="94"/>
      <c r="BE29" s="94"/>
      <c r="BF29" s="94"/>
      <c r="BG29" s="94"/>
      <c r="BH29" s="94"/>
      <c r="BI29" s="94"/>
      <c r="BJ29" s="94"/>
      <c r="BK29" s="94"/>
    </row>
    <row r="30" spans="1:63" s="150" customFormat="1" ht="14.25" x14ac:dyDescent="0.25"/>
    <row r="31" spans="1:63" s="279" customFormat="1" ht="30" customHeight="1" x14ac:dyDescent="0.2">
      <c r="A31" s="94"/>
      <c r="B31" s="94"/>
      <c r="C31" s="94"/>
      <c r="D31" s="94"/>
      <c r="E31" s="94"/>
      <c r="F31" s="94"/>
      <c r="H31" s="94"/>
      <c r="I31" s="94"/>
      <c r="J31" s="94"/>
      <c r="L31" s="151"/>
    </row>
    <row r="32" spans="1:63" s="279" customFormat="1" ht="30" customHeight="1" x14ac:dyDescent="0.2"/>
    <row r="33" spans="1:12" x14ac:dyDescent="0.25">
      <c r="A33" s="279"/>
      <c r="B33" s="279"/>
      <c r="C33" s="279"/>
      <c r="D33" s="279"/>
      <c r="E33" s="279"/>
      <c r="F33" s="279"/>
      <c r="H33" s="279"/>
      <c r="I33" s="279"/>
      <c r="J33" s="279"/>
      <c r="L33" s="279"/>
    </row>
    <row r="34" spans="1:12" x14ac:dyDescent="0.25">
      <c r="A34" s="279"/>
      <c r="B34" s="279"/>
      <c r="C34" s="279"/>
      <c r="D34" s="279"/>
      <c r="E34" s="279"/>
      <c r="F34" s="279"/>
      <c r="H34" s="279"/>
      <c r="I34" s="279"/>
      <c r="J34" s="279"/>
      <c r="L34" s="279"/>
    </row>
    <row r="35" spans="1:12" x14ac:dyDescent="0.25">
      <c r="A35" s="279"/>
      <c r="B35" s="279"/>
      <c r="C35" s="279"/>
      <c r="D35" s="279"/>
      <c r="E35" s="279"/>
      <c r="F35" s="279"/>
      <c r="H35" s="279"/>
      <c r="I35" s="279"/>
      <c r="J35" s="279"/>
      <c r="L35" s="279"/>
    </row>
    <row r="36" spans="1:12" x14ac:dyDescent="0.25">
      <c r="A36" s="279"/>
      <c r="B36" s="279"/>
      <c r="C36" s="279"/>
      <c r="D36" s="279"/>
      <c r="E36" s="279"/>
      <c r="F36" s="279"/>
      <c r="H36" s="279"/>
      <c r="I36" s="279"/>
      <c r="J36" s="279"/>
      <c r="L36" s="279"/>
    </row>
    <row r="37" spans="1:12" x14ac:dyDescent="0.25">
      <c r="A37" s="279"/>
      <c r="B37" s="279"/>
      <c r="C37" s="279"/>
      <c r="D37" s="279"/>
      <c r="E37" s="279"/>
      <c r="F37" s="279"/>
      <c r="H37" s="279"/>
      <c r="I37" s="279"/>
      <c r="J37" s="279"/>
      <c r="L37" s="279"/>
    </row>
    <row r="38" spans="1:12" x14ac:dyDescent="0.25">
      <c r="A38" s="279"/>
      <c r="B38" s="279"/>
      <c r="C38" s="279"/>
      <c r="D38" s="279"/>
      <c r="E38" s="279"/>
      <c r="F38" s="279"/>
      <c r="H38" s="279"/>
      <c r="I38" s="279"/>
      <c r="J38" s="279"/>
      <c r="L38" s="279"/>
    </row>
  </sheetData>
  <sheetProtection password="CF35" sheet="1" objects="1" scenarios="1" insertHyperlinks="0" selectLockedCells="1"/>
  <mergeCells count="36">
    <mergeCell ref="B2:D2"/>
    <mergeCell ref="E2:H2"/>
    <mergeCell ref="B3:C3"/>
    <mergeCell ref="C4:D4"/>
    <mergeCell ref="C5:D5"/>
    <mergeCell ref="B10:B11"/>
    <mergeCell ref="C10:C11"/>
    <mergeCell ref="D10:D11"/>
    <mergeCell ref="B6:B7"/>
    <mergeCell ref="C6:C7"/>
    <mergeCell ref="D6:D7"/>
    <mergeCell ref="K6:K7"/>
    <mergeCell ref="B8:B9"/>
    <mergeCell ref="C8:C9"/>
    <mergeCell ref="D8:D9"/>
    <mergeCell ref="K8:K9"/>
    <mergeCell ref="C24:D24"/>
    <mergeCell ref="E20:F20"/>
    <mergeCell ref="E21:F21"/>
    <mergeCell ref="E22:F22"/>
    <mergeCell ref="E23:F23"/>
    <mergeCell ref="E24:F24"/>
    <mergeCell ref="M12:O12"/>
    <mergeCell ref="C20:D20"/>
    <mergeCell ref="C21:D21"/>
    <mergeCell ref="C22:D22"/>
    <mergeCell ref="C23:D23"/>
    <mergeCell ref="C15:D15"/>
    <mergeCell ref="C16:D16"/>
    <mergeCell ref="C17:D17"/>
    <mergeCell ref="C18:D18"/>
    <mergeCell ref="C19:D19"/>
    <mergeCell ref="E16:F16"/>
    <mergeCell ref="E17:F17"/>
    <mergeCell ref="E18:F18"/>
    <mergeCell ref="E19:F19"/>
  </mergeCells>
  <conditionalFormatting sqref="I16">
    <cfRule type="expression" dxfId="59" priority="52">
      <formula>I16&lt;J16</formula>
    </cfRule>
  </conditionalFormatting>
  <conditionalFormatting sqref="I17">
    <cfRule type="expression" dxfId="58" priority="51">
      <formula>I17&lt;J17</formula>
    </cfRule>
  </conditionalFormatting>
  <conditionalFormatting sqref="I21">
    <cfRule type="expression" dxfId="57" priority="49">
      <formula>I21&gt;J21</formula>
    </cfRule>
  </conditionalFormatting>
  <conditionalFormatting sqref="I22">
    <cfRule type="expression" dxfId="56" priority="48">
      <formula>I22&gt;J22</formula>
    </cfRule>
  </conditionalFormatting>
  <conditionalFormatting sqref="I18">
    <cfRule type="expression" dxfId="55" priority="17">
      <formula>I18&lt;J18</formula>
    </cfRule>
  </conditionalFormatting>
  <conditionalFormatting sqref="I23">
    <cfRule type="expression" dxfId="54" priority="16">
      <formula>I23&gt;J23</formula>
    </cfRule>
  </conditionalFormatting>
  <conditionalFormatting sqref="I24">
    <cfRule type="expression" dxfId="53" priority="15">
      <formula>I24&gt;J24</formula>
    </cfRule>
  </conditionalFormatting>
  <conditionalFormatting sqref="M12">
    <cfRule type="expression" dxfId="52" priority="12">
      <formula>#REF!&lt;#REF!</formula>
    </cfRule>
  </conditionalFormatting>
  <conditionalFormatting sqref="L12">
    <cfRule type="expression" dxfId="51" priority="10">
      <formula>#REF!&lt;#REF!</formula>
    </cfRule>
  </conditionalFormatting>
  <conditionalFormatting sqref="G16:G24">
    <cfRule type="expression" dxfId="50" priority="8">
      <formula>#REF!&lt;#REF!</formula>
    </cfRule>
  </conditionalFormatting>
  <conditionalFormatting sqref="E15">
    <cfRule type="cellIs" dxfId="49" priority="6" operator="greaterThan">
      <formula>50</formula>
    </cfRule>
  </conditionalFormatting>
  <conditionalFormatting sqref="B25:B26">
    <cfRule type="expression" dxfId="48" priority="5">
      <formula>#REF!&lt;#REF!</formula>
    </cfRule>
  </conditionalFormatting>
  <conditionalFormatting sqref="I15">
    <cfRule type="expression" dxfId="47" priority="2">
      <formula>#REF!&lt;#REF!</formula>
    </cfRule>
  </conditionalFormatting>
  <hyperlinks>
    <hyperlink ref="B27" r:id="rId1" display="© Copyright: Möller Agrarmarketing e.K."/>
  </hyperlinks>
  <printOptions horizontalCentered="1"/>
  <pageMargins left="0.70866141732283472" right="0.70866141732283472" top="0.78740157480314965" bottom="0.78740157480314965" header="0.31496062992125984" footer="0.31496062992125984"/>
  <pageSetup paperSize="9" scale="8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5361" r:id="rId5" name="Drop Down 1">
              <controlPr defaultSize="0" autoLine="0" autoPict="0">
                <anchor moveWithCells="1" sizeWithCells="1">
                  <from>
                    <xdr:col>2</xdr:col>
                    <xdr:colOff>19050</xdr:colOff>
                    <xdr:row>3</xdr:row>
                    <xdr:rowOff>19050</xdr:rowOff>
                  </from>
                  <to>
                    <xdr:col>3</xdr:col>
                    <xdr:colOff>295275</xdr:colOff>
                    <xdr:row>3</xdr:row>
                    <xdr:rowOff>371475</xdr:rowOff>
                  </to>
                </anchor>
              </controlPr>
            </control>
          </mc:Choice>
        </mc:AlternateContent>
        <mc:AlternateContent xmlns:mc="http://schemas.openxmlformats.org/markup-compatibility/2006">
          <mc:Choice Requires="x14">
            <control shapeId="15362" r:id="rId6" name="Spinner 2">
              <controlPr defaultSize="0" autoPict="0">
                <anchor moveWithCells="1" sizeWithCells="1">
                  <from>
                    <xdr:col>3</xdr:col>
                    <xdr:colOff>9525</xdr:colOff>
                    <xdr:row>9</xdr:row>
                    <xdr:rowOff>9525</xdr:rowOff>
                  </from>
                  <to>
                    <xdr:col>3</xdr:col>
                    <xdr:colOff>304800</xdr:colOff>
                    <xdr:row>10</xdr:row>
                    <xdr:rowOff>180975</xdr:rowOff>
                  </to>
                </anchor>
              </controlPr>
            </control>
          </mc:Choice>
        </mc:AlternateContent>
        <mc:AlternateContent xmlns:mc="http://schemas.openxmlformats.org/markup-compatibility/2006">
          <mc:Choice Requires="x14">
            <control shapeId="15363" r:id="rId7" name="Drop Down 3">
              <controlPr defaultSize="0" autoLine="0" autoPict="0">
                <anchor moveWithCells="1" sizeWithCells="1">
                  <from>
                    <xdr:col>2</xdr:col>
                    <xdr:colOff>19050</xdr:colOff>
                    <xdr:row>4</xdr:row>
                    <xdr:rowOff>9525</xdr:rowOff>
                  </from>
                  <to>
                    <xdr:col>3</xdr:col>
                    <xdr:colOff>295275</xdr:colOff>
                    <xdr:row>4</xdr:row>
                    <xdr:rowOff>361950</xdr:rowOff>
                  </to>
                </anchor>
              </controlPr>
            </control>
          </mc:Choice>
        </mc:AlternateContent>
        <mc:AlternateContent xmlns:mc="http://schemas.openxmlformats.org/markup-compatibility/2006">
          <mc:Choice Requires="x14">
            <control shapeId="15365" r:id="rId8" name="Spinner 5">
              <controlPr defaultSize="0" autoPict="0">
                <anchor moveWithCells="1" sizeWithCells="1">
                  <from>
                    <xdr:col>5</xdr:col>
                    <xdr:colOff>9525</xdr:colOff>
                    <xdr:row>14</xdr:row>
                    <xdr:rowOff>9525</xdr:rowOff>
                  </from>
                  <to>
                    <xdr:col>5</xdr:col>
                    <xdr:colOff>304800</xdr:colOff>
                    <xdr:row>14</xdr:row>
                    <xdr:rowOff>371475</xdr:rowOff>
                  </to>
                </anchor>
              </controlPr>
            </control>
          </mc:Choice>
        </mc:AlternateContent>
        <mc:AlternateContent xmlns:mc="http://schemas.openxmlformats.org/markup-compatibility/2006">
          <mc:Choice Requires="x14">
            <control shapeId="15366" r:id="rId9" name="Spinner 6">
              <controlPr defaultSize="0" autoPict="0">
                <anchor moveWithCells="1" sizeWithCells="1">
                  <from>
                    <xdr:col>3</xdr:col>
                    <xdr:colOff>9525</xdr:colOff>
                    <xdr:row>12</xdr:row>
                    <xdr:rowOff>9525</xdr:rowOff>
                  </from>
                  <to>
                    <xdr:col>3</xdr:col>
                    <xdr:colOff>304800</xdr:colOff>
                    <xdr:row>12</xdr:row>
                    <xdr:rowOff>371475</xdr:rowOff>
                  </to>
                </anchor>
              </controlPr>
            </control>
          </mc:Choice>
        </mc:AlternateContent>
        <mc:AlternateContent xmlns:mc="http://schemas.openxmlformats.org/markup-compatibility/2006">
          <mc:Choice Requires="x14">
            <control shapeId="15375" r:id="rId10" name="Spinner 15">
              <controlPr defaultSize="0" autoPict="0">
                <anchor moveWithCells="1" sizeWithCells="1">
                  <from>
                    <xdr:col>3</xdr:col>
                    <xdr:colOff>9525</xdr:colOff>
                    <xdr:row>5</xdr:row>
                    <xdr:rowOff>9525</xdr:rowOff>
                  </from>
                  <to>
                    <xdr:col>3</xdr:col>
                    <xdr:colOff>304800</xdr:colOff>
                    <xdr:row>6</xdr:row>
                    <xdr:rowOff>180975</xdr:rowOff>
                  </to>
                </anchor>
              </controlPr>
            </control>
          </mc:Choice>
        </mc:AlternateContent>
        <mc:AlternateContent xmlns:mc="http://schemas.openxmlformats.org/markup-compatibility/2006">
          <mc:Choice Requires="x14">
            <control shapeId="15376" r:id="rId11" name="Spinner 16">
              <controlPr defaultSize="0" autoPict="0">
                <anchor moveWithCells="1" sizeWithCells="1">
                  <from>
                    <xdr:col>3</xdr:col>
                    <xdr:colOff>9525</xdr:colOff>
                    <xdr:row>7</xdr:row>
                    <xdr:rowOff>9525</xdr:rowOff>
                  </from>
                  <to>
                    <xdr:col>3</xdr:col>
                    <xdr:colOff>304800</xdr:colOff>
                    <xdr:row>8</xdr:row>
                    <xdr:rowOff>180975</xdr:rowOff>
                  </to>
                </anchor>
              </controlPr>
            </control>
          </mc:Choice>
        </mc:AlternateContent>
        <mc:AlternateContent xmlns:mc="http://schemas.openxmlformats.org/markup-compatibility/2006">
          <mc:Choice Requires="x14">
            <control shapeId="15377" r:id="rId12" name="Spinner 17">
              <controlPr defaultSize="0" autoPict="0">
                <anchor moveWithCells="1" sizeWithCells="1">
                  <from>
                    <xdr:col>3</xdr:col>
                    <xdr:colOff>9525</xdr:colOff>
                    <xdr:row>11</xdr:row>
                    <xdr:rowOff>9525</xdr:rowOff>
                  </from>
                  <to>
                    <xdr:col>3</xdr:col>
                    <xdr:colOff>304800</xdr:colOff>
                    <xdr:row>11</xdr:row>
                    <xdr:rowOff>371475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8" id="{44CF872D-C0B6-42FD-87CB-9CC2EBC42BCD}">
            <xm:f>Übersicht!$B$45&lt;Übersicht!$B$47</xm:f>
            <x14:dxf>
              <font>
                <color theme="1"/>
              </font>
              <fill>
                <patternFill>
                  <bgColor theme="1"/>
                </patternFill>
              </fill>
            </x14:dxf>
          </x14:cfRule>
          <xm:sqref>B15:H15 B4:I14 H16:I24 B16:F24</xm:sqref>
        </x14:conditionalFormatting>
        <x14:conditionalFormatting xmlns:xm="http://schemas.microsoft.com/office/excel/2006/main">
          <x14:cfRule type="expression" priority="11" id="{C0A76747-F123-4437-AC0A-2A2F7F8BB9E1}">
            <xm:f>Übersicht!$B$45&lt;Übersicht!$B$47</xm:f>
            <x14:dxf>
              <font>
                <color theme="1"/>
              </font>
              <fill>
                <patternFill>
                  <bgColor theme="1"/>
                </patternFill>
              </fill>
            </x14:dxf>
          </x14:cfRule>
          <xm:sqref>M12</xm:sqref>
        </x14:conditionalFormatting>
        <x14:conditionalFormatting xmlns:xm="http://schemas.microsoft.com/office/excel/2006/main">
          <x14:cfRule type="expression" priority="9" id="{15834C6F-D247-4C13-A99D-62E90BB5A367}">
            <xm:f>Übersicht!$B$45&lt;Übersicht!$B$47</xm:f>
            <x14:dxf>
              <font>
                <color theme="1"/>
              </font>
              <fill>
                <patternFill>
                  <bgColor theme="1"/>
                </patternFill>
              </fill>
            </x14:dxf>
          </x14:cfRule>
          <xm:sqref>L12</xm:sqref>
        </x14:conditionalFormatting>
        <x14:conditionalFormatting xmlns:xm="http://schemas.microsoft.com/office/excel/2006/main">
          <x14:cfRule type="expression" priority="7" id="{C32EBAE2-AA85-40AF-8CC7-0721F575AF13}">
            <xm:f>Übersicht!$B$45&lt;Übersicht!$B$47</xm:f>
            <x14:dxf>
              <font>
                <color theme="1"/>
              </font>
              <fill>
                <patternFill>
                  <bgColor theme="1"/>
                </patternFill>
              </fill>
            </x14:dxf>
          </x14:cfRule>
          <xm:sqref>G16:G24</xm:sqref>
        </x14:conditionalFormatting>
        <x14:conditionalFormatting xmlns:xm="http://schemas.microsoft.com/office/excel/2006/main">
          <x14:cfRule type="expression" priority="4" id="{8D379BCB-C545-49BB-B20A-8C8AC14AD180}">
            <xm:f>Übersicht!$B$45&lt;Übersicht!$B$47</xm:f>
            <x14:dxf>
              <font>
                <color theme="1"/>
              </font>
              <fill>
                <patternFill>
                  <bgColor theme="1"/>
                </patternFill>
              </fill>
            </x14:dxf>
          </x14:cfRule>
          <xm:sqref>B25:B26</xm:sqref>
        </x14:conditionalFormatting>
        <x14:conditionalFormatting xmlns:xm="http://schemas.microsoft.com/office/excel/2006/main">
          <x14:cfRule type="expression" priority="3" id="{1A2A5B8E-CADF-44D2-86AE-78E4091147C3}">
            <xm:f>Übersicht!$B$45&lt;Übersicht!$B$47</xm:f>
            <x14:dxf>
              <font>
                <color theme="1"/>
              </font>
              <fill>
                <patternFill>
                  <bgColor theme="1"/>
                </patternFill>
              </fill>
            </x14:dxf>
          </x14:cfRule>
          <xm:sqref>F25:F26</xm:sqref>
        </x14:conditionalFormatting>
        <x14:conditionalFormatting xmlns:xm="http://schemas.microsoft.com/office/excel/2006/main">
          <x14:cfRule type="expression" priority="1" id="{97B1D148-D879-46AE-904F-C802E5EAED71}">
            <xm:f>Übersicht!$B$45&lt;Übersicht!$B$47</xm:f>
            <x14:dxf>
              <font>
                <color theme="1"/>
              </font>
              <fill>
                <patternFill>
                  <bgColor theme="1"/>
                </patternFill>
              </fill>
            </x14:dxf>
          </x14:cfRule>
          <xm:sqref>I15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X38"/>
  <sheetViews>
    <sheetView showGridLines="0" workbookViewId="0">
      <selection activeCell="H15" sqref="H15"/>
    </sheetView>
  </sheetViews>
  <sheetFormatPr baseColWidth="10" defaultRowHeight="15" x14ac:dyDescent="0.25"/>
  <cols>
    <col min="1" max="1" width="11.42578125" style="94"/>
    <col min="2" max="2" width="16.7109375" style="94" customWidth="1"/>
    <col min="3" max="3" width="12.7109375" style="94" customWidth="1"/>
    <col min="4" max="4" width="4.7109375" style="94" customWidth="1"/>
    <col min="5" max="5" width="14.7109375" style="94" customWidth="1"/>
    <col min="6" max="6" width="4.7109375" style="94" customWidth="1"/>
    <col min="7" max="7" width="15.7109375" style="279" customWidth="1"/>
    <col min="8" max="9" width="15.7109375" style="94" customWidth="1"/>
    <col min="10" max="10" width="18.28515625" style="94" customWidth="1"/>
    <col min="11" max="11" width="3.7109375" style="94" customWidth="1"/>
    <col min="12" max="17" width="18.28515625" style="94" customWidth="1"/>
    <col min="18" max="18" width="3.7109375" style="367" hidden="1" customWidth="1"/>
    <col min="19" max="19" width="7.7109375" style="279" hidden="1" customWidth="1"/>
    <col min="20" max="20" width="11.85546875" style="151" hidden="1" customWidth="1"/>
    <col min="21" max="23" width="14.140625" style="279" hidden="1" customWidth="1"/>
    <col min="24" max="24" width="3.7109375" style="373" hidden="1" customWidth="1"/>
    <col min="25" max="27" width="13.28515625" customWidth="1"/>
    <col min="28" max="28" width="11.42578125" customWidth="1"/>
    <col min="29" max="36" width="14.7109375" customWidth="1"/>
  </cols>
  <sheetData>
    <row r="1" spans="1:53" s="94" customFormat="1" ht="15" customHeight="1" x14ac:dyDescent="0.2">
      <c r="A1" s="92"/>
      <c r="B1" s="92"/>
      <c r="C1" s="92"/>
      <c r="D1" s="93"/>
      <c r="E1" s="92"/>
      <c r="F1" s="92"/>
      <c r="H1" s="92"/>
      <c r="I1" s="93"/>
      <c r="R1" s="367"/>
      <c r="S1" s="96"/>
      <c r="T1" s="95"/>
      <c r="X1" s="367"/>
    </row>
    <row r="2" spans="1:53" s="92" customFormat="1" ht="40.5" customHeight="1" x14ac:dyDescent="0.25">
      <c r="A2" s="97"/>
      <c r="B2" s="431" t="s">
        <v>49</v>
      </c>
      <c r="C2" s="431"/>
      <c r="D2" s="431"/>
      <c r="E2" s="441" t="s">
        <v>159</v>
      </c>
      <c r="F2" s="441"/>
      <c r="G2" s="441"/>
      <c r="H2" s="441"/>
      <c r="I2" s="260"/>
      <c r="R2" s="367"/>
      <c r="S2" s="95"/>
      <c r="T2" s="95"/>
      <c r="X2" s="367"/>
      <c r="AX2" s="94"/>
      <c r="AY2" s="94"/>
      <c r="AZ2" s="94"/>
      <c r="BA2" s="94"/>
    </row>
    <row r="3" spans="1:53" s="99" customFormat="1" ht="15" customHeight="1" x14ac:dyDescent="0.2">
      <c r="A3" s="97"/>
      <c r="B3" s="432"/>
      <c r="C3" s="432"/>
      <c r="D3" s="98"/>
      <c r="E3" s="134"/>
      <c r="F3" s="134"/>
      <c r="H3" s="288"/>
      <c r="I3" s="98"/>
      <c r="R3" s="368"/>
      <c r="S3" s="101"/>
      <c r="T3" s="250"/>
      <c r="U3" s="308" t="s">
        <v>156</v>
      </c>
      <c r="X3" s="367"/>
      <c r="Y3" s="92"/>
      <c r="Z3" s="92"/>
      <c r="AA3" s="92"/>
      <c r="AB3" s="92"/>
      <c r="AC3" s="92"/>
    </row>
    <row r="4" spans="1:53" s="99" customFormat="1" ht="30" customHeight="1" x14ac:dyDescent="0.2">
      <c r="A4" s="97"/>
      <c r="B4" s="129" t="s">
        <v>83</v>
      </c>
      <c r="C4" s="462">
        <v>2</v>
      </c>
      <c r="D4" s="463"/>
      <c r="E4" s="265"/>
      <c r="G4" s="266" t="s">
        <v>123</v>
      </c>
      <c r="H4" s="270" t="str">
        <f>U15</f>
        <v>Energiebedarf</v>
      </c>
      <c r="I4" s="270" t="s">
        <v>122</v>
      </c>
      <c r="R4" s="368"/>
      <c r="T4" s="97"/>
      <c r="U4" s="310" t="s">
        <v>160</v>
      </c>
      <c r="X4" s="368"/>
      <c r="AD4" s="468" t="s">
        <v>190</v>
      </c>
      <c r="AE4" s="469"/>
      <c r="AF4" s="469"/>
      <c r="AG4" s="469"/>
      <c r="AH4" s="470"/>
    </row>
    <row r="5" spans="1:53" s="99" customFormat="1" ht="30" customHeight="1" x14ac:dyDescent="0.2">
      <c r="A5" s="97"/>
      <c r="B5" s="129" t="s">
        <v>86</v>
      </c>
      <c r="C5" s="462">
        <v>11</v>
      </c>
      <c r="D5" s="463"/>
      <c r="E5" s="264"/>
      <c r="H5" s="271">
        <f t="shared" ref="H5:H13" si="0">U16</f>
        <v>187.68</v>
      </c>
      <c r="I5" s="271">
        <f>V16+W16</f>
        <v>173.4215908272771</v>
      </c>
      <c r="R5" s="368"/>
      <c r="T5" s="97"/>
      <c r="U5" s="309" t="s">
        <v>158</v>
      </c>
      <c r="X5" s="368"/>
      <c r="AD5" s="475">
        <f>AJ32-AJ31</f>
        <v>0</v>
      </c>
      <c r="AE5" s="475"/>
      <c r="AF5" s="475"/>
      <c r="AG5" s="475"/>
      <c r="AH5" s="475"/>
    </row>
    <row r="6" spans="1:53" s="99" customFormat="1" ht="15" customHeight="1" x14ac:dyDescent="0.2">
      <c r="A6" s="97"/>
      <c r="B6" s="442" t="s">
        <v>107</v>
      </c>
      <c r="C6" s="446">
        <f>S6/10</f>
        <v>3.4</v>
      </c>
      <c r="D6" s="452"/>
      <c r="E6" s="264"/>
      <c r="H6" s="271">
        <f t="shared" si="0"/>
        <v>197.53200000000001</v>
      </c>
      <c r="I6" s="271">
        <f t="shared" ref="I6:I13" si="1">V17+W17</f>
        <v>184.56351534463622</v>
      </c>
      <c r="R6" s="368"/>
      <c r="S6" s="459">
        <v>34</v>
      </c>
      <c r="T6" s="97"/>
      <c r="X6" s="368"/>
      <c r="AD6" s="475"/>
      <c r="AE6" s="475"/>
      <c r="AF6" s="475"/>
      <c r="AG6" s="475"/>
      <c r="AH6" s="475"/>
    </row>
    <row r="7" spans="1:53" s="99" customFormat="1" ht="15" customHeight="1" x14ac:dyDescent="0.2">
      <c r="A7" s="97"/>
      <c r="B7" s="443"/>
      <c r="C7" s="447"/>
      <c r="D7" s="452"/>
      <c r="E7" s="264"/>
      <c r="H7" s="271">
        <f t="shared" si="0"/>
        <v>194.24799999999999</v>
      </c>
      <c r="I7" s="271">
        <f t="shared" si="1"/>
        <v>187.54340054359409</v>
      </c>
      <c r="R7" s="368"/>
      <c r="S7" s="459"/>
      <c r="T7" s="251"/>
      <c r="X7" s="368"/>
      <c r="AD7" s="475"/>
      <c r="AE7" s="475"/>
      <c r="AF7" s="475"/>
      <c r="AG7" s="475"/>
      <c r="AH7" s="475"/>
    </row>
    <row r="8" spans="1:53" s="99" customFormat="1" ht="15" customHeight="1" x14ac:dyDescent="0.2">
      <c r="A8" s="97"/>
      <c r="B8" s="442" t="s">
        <v>108</v>
      </c>
      <c r="C8" s="448">
        <f>S8/10</f>
        <v>4</v>
      </c>
      <c r="D8" s="453"/>
      <c r="E8" s="264"/>
      <c r="H8" s="271">
        <f t="shared" si="0"/>
        <v>181.11199999999999</v>
      </c>
      <c r="I8" s="271">
        <f t="shared" si="1"/>
        <v>185.37432973596216</v>
      </c>
      <c r="R8" s="368"/>
      <c r="S8" s="460">
        <v>40</v>
      </c>
      <c r="T8" s="251"/>
      <c r="X8" s="368"/>
      <c r="AD8" s="475"/>
      <c r="AE8" s="475"/>
      <c r="AF8" s="475"/>
      <c r="AG8" s="475"/>
      <c r="AH8" s="475"/>
    </row>
    <row r="9" spans="1:53" s="99" customFormat="1" ht="15" customHeight="1" x14ac:dyDescent="0.2">
      <c r="A9" s="97"/>
      <c r="B9" s="443" t="s">
        <v>108</v>
      </c>
      <c r="C9" s="449"/>
      <c r="D9" s="454"/>
      <c r="E9" s="264"/>
      <c r="H9" s="271">
        <f t="shared" si="0"/>
        <v>164.69199999999998</v>
      </c>
      <c r="I9" s="271">
        <f t="shared" si="1"/>
        <v>177.40677261899259</v>
      </c>
      <c r="R9" s="368"/>
      <c r="S9" s="461"/>
      <c r="T9" s="251"/>
      <c r="X9" s="368"/>
      <c r="AD9" s="475"/>
      <c r="AE9" s="475"/>
      <c r="AF9" s="475"/>
      <c r="AG9" s="475"/>
      <c r="AH9" s="475"/>
    </row>
    <row r="10" spans="1:53" s="99" customFormat="1" ht="15" customHeight="1" x14ac:dyDescent="0.2">
      <c r="A10" s="97"/>
      <c r="B10" s="444" t="s">
        <v>63</v>
      </c>
      <c r="C10" s="450">
        <v>700</v>
      </c>
      <c r="D10" s="455"/>
      <c r="E10" s="264"/>
      <c r="H10" s="271">
        <f t="shared" si="0"/>
        <v>154.84</v>
      </c>
      <c r="I10" s="271">
        <f t="shared" si="1"/>
        <v>170.99371999649657</v>
      </c>
      <c r="R10" s="368"/>
      <c r="S10" s="101"/>
      <c r="T10" s="251"/>
      <c r="X10" s="368"/>
      <c r="AD10" s="475"/>
      <c r="AE10" s="475"/>
      <c r="AF10" s="475"/>
      <c r="AG10" s="475"/>
      <c r="AH10" s="475"/>
    </row>
    <row r="11" spans="1:53" s="94" customFormat="1" ht="15" customHeight="1" x14ac:dyDescent="0.2">
      <c r="B11" s="445"/>
      <c r="C11" s="451"/>
      <c r="D11" s="456"/>
      <c r="E11" s="264"/>
      <c r="F11" s="99"/>
      <c r="G11" s="264"/>
      <c r="H11" s="271">
        <f t="shared" si="0"/>
        <v>138.41999999999999</v>
      </c>
      <c r="I11" s="271">
        <f t="shared" si="1"/>
        <v>159.90907123274542</v>
      </c>
      <c r="R11" s="367"/>
      <c r="S11" s="318" t="s">
        <v>164</v>
      </c>
      <c r="T11" s="318" t="s">
        <v>163</v>
      </c>
      <c r="X11" s="367"/>
      <c r="AD11" s="475"/>
      <c r="AE11" s="475"/>
      <c r="AF11" s="475"/>
      <c r="AG11" s="475"/>
      <c r="AH11" s="475"/>
    </row>
    <row r="12" spans="1:53" s="94" customFormat="1" ht="30" customHeight="1" x14ac:dyDescent="0.2">
      <c r="A12" s="269"/>
      <c r="B12" s="104" t="s">
        <v>165</v>
      </c>
      <c r="C12" s="272">
        <f>S12/10</f>
        <v>7</v>
      </c>
      <c r="D12" s="105"/>
      <c r="E12" s="264"/>
      <c r="F12" s="99"/>
      <c r="G12" s="264"/>
      <c r="H12" s="271">
        <f t="shared" si="0"/>
        <v>118.71600000000001</v>
      </c>
      <c r="I12" s="271">
        <f t="shared" si="1"/>
        <v>147.00133888132174</v>
      </c>
      <c r="R12" s="367"/>
      <c r="S12" s="317">
        <v>70</v>
      </c>
      <c r="T12" s="320">
        <f>C12/88*100</f>
        <v>7.9545454545454541</v>
      </c>
      <c r="U12" s="434" t="s">
        <v>167</v>
      </c>
      <c r="V12" s="435"/>
      <c r="W12" s="435"/>
      <c r="X12" s="367"/>
      <c r="AD12" s="475"/>
      <c r="AE12" s="475"/>
      <c r="AF12" s="475"/>
      <c r="AG12" s="475"/>
      <c r="AH12" s="475"/>
    </row>
    <row r="13" spans="1:53" s="94" customFormat="1" ht="30" customHeight="1" x14ac:dyDescent="0.2">
      <c r="B13" s="104" t="s">
        <v>66</v>
      </c>
      <c r="C13" s="272">
        <f>S13/10</f>
        <v>6.7</v>
      </c>
      <c r="D13" s="105"/>
      <c r="E13" s="264"/>
      <c r="F13" s="99"/>
      <c r="G13" s="264"/>
      <c r="H13" s="271">
        <f t="shared" si="0"/>
        <v>108.864</v>
      </c>
      <c r="I13" s="271">
        <f t="shared" si="1"/>
        <v>141.749903748512</v>
      </c>
      <c r="R13" s="367"/>
      <c r="S13" s="289">
        <v>67</v>
      </c>
      <c r="T13" s="251"/>
      <c r="U13" s="309" t="s">
        <v>157</v>
      </c>
      <c r="X13" s="367"/>
      <c r="AD13" s="359" t="s">
        <v>186</v>
      </c>
      <c r="AE13" s="360">
        <v>120</v>
      </c>
      <c r="AF13" s="361"/>
      <c r="AG13" s="366" t="s">
        <v>189</v>
      </c>
      <c r="AH13" s="362"/>
    </row>
    <row r="14" spans="1:53" s="94" customFormat="1" ht="15" customHeight="1" x14ac:dyDescent="0.2">
      <c r="A14" s="135"/>
      <c r="B14" s="135"/>
      <c r="C14" s="135"/>
      <c r="D14" s="103"/>
      <c r="E14" s="273"/>
      <c r="H14" s="103"/>
      <c r="I14" s="103"/>
      <c r="J14" s="103"/>
      <c r="K14" s="103"/>
      <c r="L14" s="103"/>
      <c r="M14" s="103"/>
      <c r="N14" s="103"/>
      <c r="O14" s="103"/>
      <c r="P14" s="103"/>
      <c r="Q14" s="103"/>
      <c r="R14" s="374"/>
      <c r="S14" s="96"/>
      <c r="T14" s="95"/>
      <c r="U14" s="309" t="s">
        <v>156</v>
      </c>
      <c r="X14" s="367"/>
      <c r="AB14" s="344" t="s">
        <v>180</v>
      </c>
    </row>
    <row r="15" spans="1:53" s="274" customFormat="1" ht="30" customHeight="1" x14ac:dyDescent="0.25">
      <c r="A15" s="135"/>
      <c r="B15" s="136" t="s">
        <v>62</v>
      </c>
      <c r="C15" s="436" t="s">
        <v>87</v>
      </c>
      <c r="D15" s="437"/>
      <c r="E15" s="316">
        <v>40</v>
      </c>
      <c r="F15" s="105"/>
      <c r="G15" s="102" t="s">
        <v>121</v>
      </c>
      <c r="H15" s="102" t="s">
        <v>88</v>
      </c>
      <c r="I15" s="102" t="s">
        <v>176</v>
      </c>
      <c r="J15" s="262" t="s">
        <v>124</v>
      </c>
      <c r="K15" s="262"/>
      <c r="L15" s="262"/>
      <c r="M15" s="262"/>
      <c r="N15" s="262"/>
      <c r="O15" s="262"/>
      <c r="P15" s="262"/>
      <c r="Q15" s="262"/>
      <c r="R15" s="375"/>
      <c r="T15" s="95"/>
      <c r="U15" s="275" t="s">
        <v>118</v>
      </c>
      <c r="V15" s="275" t="s">
        <v>119</v>
      </c>
      <c r="W15" s="275" t="s">
        <v>120</v>
      </c>
      <c r="X15" s="369"/>
      <c r="AB15" s="345"/>
      <c r="AC15" s="345" t="s">
        <v>179</v>
      </c>
      <c r="AD15" s="351" t="s">
        <v>183</v>
      </c>
      <c r="AE15" s="351" t="s">
        <v>182</v>
      </c>
      <c r="AF15" s="351" t="s">
        <v>181</v>
      </c>
      <c r="AG15" s="351" t="s">
        <v>184</v>
      </c>
      <c r="AH15" s="353" t="s">
        <v>185</v>
      </c>
    </row>
    <row r="16" spans="1:53" s="279" customFormat="1" ht="30" customHeight="1" x14ac:dyDescent="0.2">
      <c r="A16" s="261"/>
      <c r="B16" s="137">
        <v>20</v>
      </c>
      <c r="C16" s="438">
        <f>INDEX(Lakkurve!$O$6:$Y$14,MATCH(B16,Lakkurve!$A$6:$A$14,0),MATCH($C$5,Lakkurve!$O$4:$Y$4,0))</f>
        <v>45</v>
      </c>
      <c r="D16" s="439"/>
      <c r="E16" s="466">
        <f>$E$15/100*H16*100/88</f>
        <v>10.945568721741802</v>
      </c>
      <c r="F16" s="467"/>
      <c r="G16" s="277">
        <f>H16-(E16*88/100)</f>
        <v>14.448150712699176</v>
      </c>
      <c r="H16" s="350">
        <f>'F5'!O$35</f>
        <v>24.080251187831962</v>
      </c>
      <c r="I16" s="253">
        <f t="shared" ref="I16:I24" si="2">-U16+V16+W16</f>
        <v>-14.258409172722921</v>
      </c>
      <c r="J16" s="261">
        <v>-10</v>
      </c>
      <c r="K16" s="261"/>
      <c r="L16" s="261"/>
      <c r="M16" s="261"/>
      <c r="N16" s="261"/>
      <c r="O16" s="261"/>
      <c r="P16" s="261"/>
      <c r="Q16" s="261"/>
      <c r="R16" s="376"/>
      <c r="S16" s="274"/>
      <c r="T16" s="95"/>
      <c r="U16" s="285">
        <f>Bedarf!$C$33+Bedarf!$H$33*C16</f>
        <v>187.68</v>
      </c>
      <c r="V16" s="286">
        <f>$C$12*E16</f>
        <v>76.618981052192609</v>
      </c>
      <c r="W16" s="323">
        <f>$C$13*G16</f>
        <v>96.802609775084477</v>
      </c>
      <c r="X16" s="370"/>
      <c r="AB16" s="341">
        <v>30</v>
      </c>
      <c r="AC16" s="342">
        <f>AB16-AB15</f>
        <v>30</v>
      </c>
      <c r="AD16" s="352">
        <f>C16*$AD$26/100</f>
        <v>20.25</v>
      </c>
      <c r="AE16" s="364">
        <f>G16*$AE$26/100</f>
        <v>2.7451486354128436</v>
      </c>
      <c r="AF16" s="364">
        <f>E16*$AF$26/100</f>
        <v>3.0100313984789953</v>
      </c>
      <c r="AG16" s="352">
        <f>SUM(AE16:AF16)</f>
        <v>5.7551800338918389</v>
      </c>
      <c r="AH16" s="363">
        <f>SUM(AF16:AG16)</f>
        <v>8.7652114323708332</v>
      </c>
    </row>
    <row r="17" spans="1:76" s="279" customFormat="1" ht="30" customHeight="1" x14ac:dyDescent="0.2">
      <c r="A17" s="261"/>
      <c r="B17" s="137">
        <v>40</v>
      </c>
      <c r="C17" s="438">
        <f>INDEX(Lakkurve!$O$6:$Y$14,MATCH(B17,Lakkurve!$A$6:$A$14,0),MATCH($C$5,Lakkurve!$O$4:$Y$4,0))</f>
        <v>48</v>
      </c>
      <c r="D17" s="439"/>
      <c r="E17" s="466">
        <f t="shared" ref="E17:E24" si="3">$E$15/100*H17*100/88</f>
        <v>11.648795464821776</v>
      </c>
      <c r="F17" s="467"/>
      <c r="G17" s="277">
        <f t="shared" ref="G17:G24" si="4">H17-(E17*88/100)</f>
        <v>15.376410013564744</v>
      </c>
      <c r="H17" s="350">
        <f>'F5'!P$35</f>
        <v>25.627350022607907</v>
      </c>
      <c r="I17" s="253">
        <f t="shared" si="2"/>
        <v>-12.968484655363795</v>
      </c>
      <c r="J17" s="261">
        <v>-10</v>
      </c>
      <c r="K17" s="261"/>
      <c r="L17" s="261"/>
      <c r="M17" s="261"/>
      <c r="N17" s="261"/>
      <c r="O17" s="261"/>
      <c r="P17" s="261"/>
      <c r="Q17" s="261"/>
      <c r="R17" s="376"/>
      <c r="S17" s="274"/>
      <c r="T17" s="95"/>
      <c r="U17" s="285">
        <f>Bedarf!$C$33+Bedarf!$H$33*C17</f>
        <v>197.53200000000001</v>
      </c>
      <c r="V17" s="286">
        <f t="shared" ref="V17:V24" si="5">$C$12*E17</f>
        <v>81.54156825375243</v>
      </c>
      <c r="W17" s="323">
        <f t="shared" ref="W17:W24" si="6">$C$13*G17</f>
        <v>103.02194709088378</v>
      </c>
      <c r="X17" s="370"/>
      <c r="AB17" s="341">
        <v>50</v>
      </c>
      <c r="AC17" s="342">
        <f t="shared" ref="AC17:AC24" si="7">AB17-AB16</f>
        <v>20</v>
      </c>
      <c r="AD17" s="352">
        <f t="shared" ref="AD17:AD24" si="8">C17*$AD$26/100</f>
        <v>21.6</v>
      </c>
      <c r="AE17" s="364">
        <f t="shared" ref="AE17:AE24" si="9">G17*$AE$26/100</f>
        <v>2.921517902577301</v>
      </c>
      <c r="AF17" s="364">
        <f t="shared" ref="AF17:AF24" si="10">E17*$AF$26/100</f>
        <v>3.2034187528259883</v>
      </c>
      <c r="AG17" s="352">
        <f t="shared" ref="AG17:AG24" si="11">SUM(AE17:AF17)</f>
        <v>6.1249366554032889</v>
      </c>
      <c r="AH17" s="363">
        <f t="shared" ref="AH17:AH24" si="12">SUM(AF17:AG17)</f>
        <v>9.3283554082292781</v>
      </c>
    </row>
    <row r="18" spans="1:76" s="279" customFormat="1" ht="30" customHeight="1" x14ac:dyDescent="0.2">
      <c r="A18" s="261"/>
      <c r="B18" s="137">
        <v>60</v>
      </c>
      <c r="C18" s="438">
        <f>INDEX(Lakkurve!$O$6:$Y$14,MATCH(B18,Lakkurve!$A$6:$A$14,0),MATCH($C$5,Lakkurve!$O$4:$Y$4,0))</f>
        <v>47</v>
      </c>
      <c r="D18" s="439"/>
      <c r="E18" s="466">
        <f t="shared" si="3"/>
        <v>11.836872036328838</v>
      </c>
      <c r="F18" s="467"/>
      <c r="G18" s="277">
        <f t="shared" si="4"/>
        <v>15.624671087954063</v>
      </c>
      <c r="H18" s="350">
        <f>'F5'!Q$35</f>
        <v>26.041118479923441</v>
      </c>
      <c r="I18" s="253">
        <f t="shared" si="2"/>
        <v>-6.7045994564059015</v>
      </c>
      <c r="J18" s="261">
        <v>-10</v>
      </c>
      <c r="K18" s="261"/>
      <c r="L18" s="261"/>
      <c r="M18" s="261"/>
      <c r="N18" s="261"/>
      <c r="O18" s="261"/>
      <c r="P18" s="261"/>
      <c r="Q18" s="261"/>
      <c r="R18" s="376"/>
      <c r="S18" s="274"/>
      <c r="T18" s="95"/>
      <c r="U18" s="285">
        <f>Bedarf!$C$33+Bedarf!$H$33*C18</f>
        <v>194.24799999999999</v>
      </c>
      <c r="V18" s="286">
        <f t="shared" si="5"/>
        <v>82.858104254301864</v>
      </c>
      <c r="W18" s="323">
        <f t="shared" si="6"/>
        <v>104.68529628929222</v>
      </c>
      <c r="X18" s="370"/>
      <c r="AB18" s="341">
        <v>75</v>
      </c>
      <c r="AC18" s="342">
        <f t="shared" si="7"/>
        <v>25</v>
      </c>
      <c r="AD18" s="352">
        <f t="shared" si="8"/>
        <v>21.15</v>
      </c>
      <c r="AE18" s="364">
        <f t="shared" si="9"/>
        <v>2.9686875067112721</v>
      </c>
      <c r="AF18" s="364">
        <f t="shared" si="10"/>
        <v>3.2551398099904305</v>
      </c>
      <c r="AG18" s="352">
        <f t="shared" si="11"/>
        <v>6.2238273167017031</v>
      </c>
      <c r="AH18" s="363">
        <f t="shared" si="12"/>
        <v>9.4789671266921331</v>
      </c>
    </row>
    <row r="19" spans="1:76" s="279" customFormat="1" ht="30" customHeight="1" x14ac:dyDescent="0.2">
      <c r="A19" s="261"/>
      <c r="B19" s="137">
        <v>100</v>
      </c>
      <c r="C19" s="438">
        <f>INDEX(Lakkurve!$O$6:$Y$14,MATCH(B19,Lakkurve!$A$6:$A$14,0),MATCH($C$5,Lakkurve!$O$4:$Y$4,0))</f>
        <v>43</v>
      </c>
      <c r="D19" s="439"/>
      <c r="E19" s="466">
        <f t="shared" si="3"/>
        <v>11.699970319108946</v>
      </c>
      <c r="F19" s="467"/>
      <c r="G19" s="277">
        <f t="shared" si="4"/>
        <v>15.443960821223811</v>
      </c>
      <c r="H19" s="350">
        <f>'F5'!R$35</f>
        <v>25.739934702039683</v>
      </c>
      <c r="I19" s="253">
        <f t="shared" si="2"/>
        <v>4.2623297359621688</v>
      </c>
      <c r="J19" s="261">
        <f>0</f>
        <v>0</v>
      </c>
      <c r="K19" s="261"/>
      <c r="L19" s="261"/>
      <c r="M19" s="261"/>
      <c r="N19" s="261"/>
      <c r="O19" s="261"/>
      <c r="P19" s="261"/>
      <c r="Q19" s="261"/>
      <c r="R19" s="376"/>
      <c r="S19" s="274"/>
      <c r="T19" s="95"/>
      <c r="U19" s="285">
        <f>Bedarf!$C$33+Bedarf!$H$33*C19</f>
        <v>181.11199999999999</v>
      </c>
      <c r="V19" s="286">
        <f t="shared" si="5"/>
        <v>81.899792233762625</v>
      </c>
      <c r="W19" s="323">
        <f t="shared" si="6"/>
        <v>103.47453750219954</v>
      </c>
      <c r="X19" s="370"/>
      <c r="AB19" s="341">
        <v>125</v>
      </c>
      <c r="AC19" s="342">
        <f t="shared" si="7"/>
        <v>50</v>
      </c>
      <c r="AD19" s="352">
        <f t="shared" si="8"/>
        <v>19.350000000000001</v>
      </c>
      <c r="AE19" s="364">
        <f t="shared" si="9"/>
        <v>2.9343525560325241</v>
      </c>
      <c r="AF19" s="364">
        <f t="shared" si="10"/>
        <v>3.2174918377549604</v>
      </c>
      <c r="AG19" s="352">
        <f t="shared" si="11"/>
        <v>6.1518443937874849</v>
      </c>
      <c r="AH19" s="363">
        <f t="shared" si="12"/>
        <v>9.3693362315424444</v>
      </c>
    </row>
    <row r="20" spans="1:76" s="279" customFormat="1" ht="30" customHeight="1" x14ac:dyDescent="0.2">
      <c r="A20" s="261"/>
      <c r="B20" s="137">
        <v>150</v>
      </c>
      <c r="C20" s="471">
        <f>INDEX(Lakkurve!$O$6:$Y$14,MATCH(B20,Lakkurve!$A$6:$A$14,0),MATCH($C$5,Lakkurve!$O$4:$Y$4,0))</f>
        <v>38</v>
      </c>
      <c r="D20" s="472"/>
      <c r="E20" s="466">
        <f t="shared" si="3"/>
        <v>11.197094964591809</v>
      </c>
      <c r="F20" s="467"/>
      <c r="G20" s="277">
        <f t="shared" si="4"/>
        <v>14.780165353261186</v>
      </c>
      <c r="H20" s="350">
        <f>'F5'!S$35</f>
        <v>24.633608922101978</v>
      </c>
      <c r="I20" s="253">
        <f t="shared" si="2"/>
        <v>12.714772618992626</v>
      </c>
      <c r="J20" s="261">
        <f>0</f>
        <v>0</v>
      </c>
      <c r="K20" s="261"/>
      <c r="L20" s="261"/>
      <c r="M20" s="261"/>
      <c r="N20" s="261"/>
      <c r="O20" s="261"/>
      <c r="P20" s="261"/>
      <c r="Q20" s="261"/>
      <c r="R20" s="376"/>
      <c r="S20" s="274"/>
      <c r="T20" s="95"/>
      <c r="U20" s="285">
        <f>Bedarf!$C$33+Bedarf!$H$33*C20</f>
        <v>164.69199999999998</v>
      </c>
      <c r="V20" s="286">
        <f t="shared" si="5"/>
        <v>78.379664752142659</v>
      </c>
      <c r="W20" s="323">
        <f t="shared" si="6"/>
        <v>99.027107866849946</v>
      </c>
      <c r="X20" s="370"/>
      <c r="AB20" s="341">
        <v>175</v>
      </c>
      <c r="AC20" s="342">
        <f t="shared" si="7"/>
        <v>50</v>
      </c>
      <c r="AD20" s="352">
        <f t="shared" si="8"/>
        <v>17.100000000000001</v>
      </c>
      <c r="AE20" s="364">
        <f t="shared" si="9"/>
        <v>2.8082314171196252</v>
      </c>
      <c r="AF20" s="364">
        <f t="shared" si="10"/>
        <v>3.0792011152627476</v>
      </c>
      <c r="AG20" s="352">
        <f t="shared" si="11"/>
        <v>5.8874325323823733</v>
      </c>
      <c r="AH20" s="363">
        <f t="shared" si="12"/>
        <v>8.9666336476451214</v>
      </c>
    </row>
    <row r="21" spans="1:76" s="279" customFormat="1" ht="30" customHeight="1" x14ac:dyDescent="0.2">
      <c r="A21" s="261"/>
      <c r="B21" s="137">
        <v>200</v>
      </c>
      <c r="C21" s="438">
        <f>INDEX(Lakkurve!$O$6:$Y$14,MATCH(B21,Lakkurve!$A$6:$A$14,0),MATCH($C$5,Lakkurve!$O$4:$Y$4,0))</f>
        <v>35</v>
      </c>
      <c r="D21" s="439"/>
      <c r="E21" s="466">
        <f t="shared" si="3"/>
        <v>10.792332744035379</v>
      </c>
      <c r="F21" s="467"/>
      <c r="G21" s="277">
        <f t="shared" si="4"/>
        <v>14.245879222126701</v>
      </c>
      <c r="H21" s="350">
        <f>'F5'!T$35</f>
        <v>23.743132036877835</v>
      </c>
      <c r="I21" s="253">
        <f t="shared" si="2"/>
        <v>16.153719996496548</v>
      </c>
      <c r="J21" s="261">
        <v>0</v>
      </c>
      <c r="K21" s="261"/>
      <c r="L21" s="261"/>
      <c r="M21" s="261"/>
      <c r="N21" s="261"/>
      <c r="O21" s="261"/>
      <c r="P21" s="261"/>
      <c r="Q21" s="261"/>
      <c r="R21" s="376"/>
      <c r="S21" s="274"/>
      <c r="T21" s="95"/>
      <c r="U21" s="285">
        <f>Bedarf!$C$33+Bedarf!$H$33*C21</f>
        <v>154.84</v>
      </c>
      <c r="V21" s="286">
        <f t="shared" si="5"/>
        <v>75.546329208247656</v>
      </c>
      <c r="W21" s="323">
        <f t="shared" si="6"/>
        <v>95.447390788248896</v>
      </c>
      <c r="X21" s="370"/>
      <c r="AB21" s="341">
        <v>225</v>
      </c>
      <c r="AC21" s="342">
        <f t="shared" si="7"/>
        <v>50</v>
      </c>
      <c r="AD21" s="352">
        <f t="shared" si="8"/>
        <v>15.75</v>
      </c>
      <c r="AE21" s="364">
        <f t="shared" si="9"/>
        <v>2.7067170522040733</v>
      </c>
      <c r="AF21" s="364">
        <f t="shared" si="10"/>
        <v>2.9678915046097289</v>
      </c>
      <c r="AG21" s="352">
        <f t="shared" si="11"/>
        <v>5.6746085568138023</v>
      </c>
      <c r="AH21" s="363">
        <f t="shared" si="12"/>
        <v>8.6425000614235312</v>
      </c>
    </row>
    <row r="22" spans="1:76" s="279" customFormat="1" ht="30" customHeight="1" x14ac:dyDescent="0.2">
      <c r="A22" s="261"/>
      <c r="B22" s="137">
        <v>250</v>
      </c>
      <c r="C22" s="438">
        <f>INDEX(Lakkurve!$O$6:$Y$14,MATCH(B22,Lakkurve!$A$6:$A$14,0),MATCH($C$5,Lakkurve!$O$4:$Y$4,0))</f>
        <v>30</v>
      </c>
      <c r="D22" s="439"/>
      <c r="E22" s="466">
        <f t="shared" si="3"/>
        <v>10.092720981617358</v>
      </c>
      <c r="F22" s="467"/>
      <c r="G22" s="277">
        <f t="shared" si="4"/>
        <v>13.322391695734913</v>
      </c>
      <c r="H22" s="350">
        <f>'F5'!U$35</f>
        <v>22.203986159558188</v>
      </c>
      <c r="I22" s="253">
        <f t="shared" si="2"/>
        <v>21.489071232745431</v>
      </c>
      <c r="J22" s="261">
        <v>0</v>
      </c>
      <c r="K22" s="261"/>
      <c r="L22" s="261"/>
      <c r="M22" s="261"/>
      <c r="N22" s="261"/>
      <c r="O22" s="261"/>
      <c r="P22" s="261"/>
      <c r="Q22" s="261"/>
      <c r="R22" s="376"/>
      <c r="S22" s="274"/>
      <c r="T22" s="95"/>
      <c r="U22" s="285">
        <f>Bedarf!$C$33+Bedarf!$H$33*C22</f>
        <v>138.41999999999999</v>
      </c>
      <c r="V22" s="286">
        <f t="shared" si="5"/>
        <v>70.649046871321502</v>
      </c>
      <c r="W22" s="323">
        <f t="shared" si="6"/>
        <v>89.260024361423916</v>
      </c>
      <c r="X22" s="370"/>
      <c r="AB22" s="341">
        <v>275</v>
      </c>
      <c r="AC22" s="342">
        <f t="shared" si="7"/>
        <v>50</v>
      </c>
      <c r="AD22" s="352">
        <f t="shared" si="8"/>
        <v>13.5</v>
      </c>
      <c r="AE22" s="364">
        <f t="shared" si="9"/>
        <v>2.5312544221896336</v>
      </c>
      <c r="AF22" s="364">
        <f t="shared" si="10"/>
        <v>2.7754982699447739</v>
      </c>
      <c r="AG22" s="352">
        <f t="shared" si="11"/>
        <v>5.3067526921344079</v>
      </c>
      <c r="AH22" s="363">
        <f t="shared" si="12"/>
        <v>8.0822509620791827</v>
      </c>
    </row>
    <row r="23" spans="1:76" s="279" customFormat="1" ht="30" customHeight="1" x14ac:dyDescent="0.2">
      <c r="A23" s="261"/>
      <c r="B23" s="137">
        <v>300</v>
      </c>
      <c r="C23" s="438">
        <f>INDEX(Lakkurve!$O$6:$Y$14,MATCH(B23,Lakkurve!$A$6:$A$14,0),MATCH($C$5,Lakkurve!$O$4:$Y$4,0))</f>
        <v>24</v>
      </c>
      <c r="D23" s="439"/>
      <c r="E23" s="466">
        <f t="shared" si="3"/>
        <v>9.2780446150796347</v>
      </c>
      <c r="F23" s="467"/>
      <c r="G23" s="277">
        <f t="shared" si="4"/>
        <v>12.247018891905119</v>
      </c>
      <c r="H23" s="350">
        <f>'F5'!V$35</f>
        <v>20.411698153175198</v>
      </c>
      <c r="I23" s="253">
        <f t="shared" si="2"/>
        <v>28.285338881321735</v>
      </c>
      <c r="J23" s="261">
        <v>5</v>
      </c>
      <c r="K23" s="261"/>
      <c r="L23" s="261"/>
      <c r="M23" s="261"/>
      <c r="N23" s="261"/>
      <c r="O23" s="261"/>
      <c r="P23" s="261"/>
      <c r="Q23" s="261"/>
      <c r="R23" s="376"/>
      <c r="S23" s="274"/>
      <c r="T23" s="95"/>
      <c r="U23" s="285">
        <f>Bedarf!$C$33+Bedarf!$H$33*C23</f>
        <v>118.71600000000001</v>
      </c>
      <c r="V23" s="286">
        <f t="shared" si="5"/>
        <v>64.946312305557441</v>
      </c>
      <c r="W23" s="323">
        <f t="shared" si="6"/>
        <v>82.055026575764302</v>
      </c>
      <c r="X23" s="370"/>
      <c r="AB23" s="341">
        <v>325</v>
      </c>
      <c r="AC23" s="342">
        <f t="shared" si="7"/>
        <v>50</v>
      </c>
      <c r="AD23" s="352">
        <f t="shared" si="8"/>
        <v>10.8</v>
      </c>
      <c r="AE23" s="364">
        <f t="shared" si="9"/>
        <v>2.3269335894619725</v>
      </c>
      <c r="AF23" s="364">
        <f t="shared" si="10"/>
        <v>2.5514622691468993</v>
      </c>
      <c r="AG23" s="352">
        <f t="shared" si="11"/>
        <v>4.8783958586088723</v>
      </c>
      <c r="AH23" s="363">
        <f t="shared" si="12"/>
        <v>7.4298581277557716</v>
      </c>
    </row>
    <row r="24" spans="1:76" s="279" customFormat="1" ht="30" customHeight="1" x14ac:dyDescent="0.2">
      <c r="A24" s="261"/>
      <c r="B24" s="137">
        <v>350</v>
      </c>
      <c r="C24" s="438">
        <f>INDEX(Lakkurve!$O$6:$Y$14,MATCH(B24,Lakkurve!$A$6:$A$14,0),MATCH($C$5,Lakkurve!$O$4:$Y$4,0))</f>
        <v>21</v>
      </c>
      <c r="D24" s="439"/>
      <c r="E24" s="466">
        <f t="shared" si="3"/>
        <v>8.9465983178813424</v>
      </c>
      <c r="F24" s="467"/>
      <c r="G24" s="277">
        <f t="shared" si="4"/>
        <v>11.809509779603371</v>
      </c>
      <c r="H24" s="350">
        <f>'F5'!W$35</f>
        <v>19.682516299338953</v>
      </c>
      <c r="I24" s="253">
        <f t="shared" si="2"/>
        <v>32.885903748511979</v>
      </c>
      <c r="J24" s="261">
        <v>5</v>
      </c>
      <c r="K24" s="261"/>
      <c r="L24" s="261"/>
      <c r="M24" s="261"/>
      <c r="N24" s="261"/>
      <c r="O24" s="261"/>
      <c r="P24" s="261"/>
      <c r="Q24" s="261"/>
      <c r="R24" s="376"/>
      <c r="S24" s="274"/>
      <c r="T24" s="95"/>
      <c r="U24" s="285">
        <f>Bedarf!$C$33+Bedarf!$H$33*C24</f>
        <v>108.864</v>
      </c>
      <c r="V24" s="286">
        <f t="shared" si="5"/>
        <v>62.6261882251694</v>
      </c>
      <c r="W24" s="323">
        <f t="shared" si="6"/>
        <v>79.123715523342582</v>
      </c>
      <c r="X24" s="370"/>
      <c r="AB24" s="341">
        <v>365</v>
      </c>
      <c r="AC24" s="342">
        <f t="shared" si="7"/>
        <v>40</v>
      </c>
      <c r="AD24" s="352">
        <f t="shared" si="8"/>
        <v>9.4499999999999993</v>
      </c>
      <c r="AE24" s="364">
        <f t="shared" si="9"/>
        <v>2.2438068581246404</v>
      </c>
      <c r="AF24" s="364">
        <f t="shared" si="10"/>
        <v>2.4603145374173692</v>
      </c>
      <c r="AG24" s="352">
        <f t="shared" si="11"/>
        <v>4.7041213955420096</v>
      </c>
      <c r="AH24" s="363">
        <f t="shared" si="12"/>
        <v>7.1644359329593783</v>
      </c>
    </row>
    <row r="25" spans="1:76" s="279" customFormat="1" ht="30" customHeight="1" x14ac:dyDescent="0.2">
      <c r="A25" s="94"/>
      <c r="B25" s="329" t="s">
        <v>170</v>
      </c>
      <c r="C25" s="94"/>
      <c r="D25" s="94"/>
      <c r="E25" s="324"/>
      <c r="F25" s="329" t="s">
        <v>174</v>
      </c>
      <c r="H25" s="94"/>
      <c r="I25" s="94"/>
      <c r="J25" s="94"/>
      <c r="K25" s="94"/>
      <c r="L25" s="94"/>
      <c r="M25" s="94"/>
      <c r="N25" s="94"/>
      <c r="O25" s="94"/>
      <c r="P25" s="94"/>
      <c r="Q25" s="94"/>
      <c r="R25" s="367"/>
      <c r="T25" s="151"/>
      <c r="X25" s="370"/>
      <c r="AB25" s="348"/>
      <c r="AC25" s="354"/>
      <c r="AD25" s="355" t="s">
        <v>178</v>
      </c>
      <c r="AE25" s="355" t="s">
        <v>66</v>
      </c>
      <c r="AF25" s="355" t="s">
        <v>65</v>
      </c>
      <c r="AG25" s="473"/>
      <c r="AH25" s="365">
        <f>SUMPRODUCT(AC16:AC24,AH16:AH24)/365</f>
        <v>8.4865863510786053</v>
      </c>
    </row>
    <row r="26" spans="1:76" s="279" customFormat="1" ht="30" customHeight="1" x14ac:dyDescent="0.2">
      <c r="A26" s="94"/>
      <c r="B26" s="329"/>
      <c r="C26" s="94"/>
      <c r="D26" s="94"/>
      <c r="E26" s="331"/>
      <c r="F26" s="329" t="s">
        <v>177</v>
      </c>
      <c r="H26" s="94"/>
      <c r="I26" s="94"/>
      <c r="J26" s="94"/>
      <c r="K26" s="94"/>
      <c r="L26" s="94"/>
      <c r="M26" s="94"/>
      <c r="N26" s="94"/>
      <c r="O26" s="94"/>
      <c r="P26" s="94"/>
      <c r="Q26" s="94"/>
      <c r="R26" s="367"/>
      <c r="T26" s="151"/>
      <c r="X26" s="370"/>
      <c r="AB26" s="349"/>
      <c r="AC26" s="356"/>
      <c r="AD26" s="343">
        <v>45</v>
      </c>
      <c r="AE26" s="346">
        <v>19</v>
      </c>
      <c r="AF26" s="347">
        <v>27.5</v>
      </c>
      <c r="AG26" s="474"/>
      <c r="AH26" s="365" t="s">
        <v>187</v>
      </c>
    </row>
    <row r="27" spans="1:76" s="143" customFormat="1" ht="30" customHeight="1" x14ac:dyDescent="0.2">
      <c r="A27" s="138"/>
      <c r="B27" s="139" t="s">
        <v>89</v>
      </c>
      <c r="C27" s="140"/>
      <c r="D27" s="140"/>
      <c r="E27" s="140"/>
      <c r="F27" s="140"/>
      <c r="G27" s="140"/>
      <c r="H27" s="140"/>
      <c r="I27" s="140"/>
      <c r="J27" s="150"/>
      <c r="K27" s="150"/>
      <c r="L27" s="150"/>
      <c r="M27" s="150"/>
      <c r="N27" s="150"/>
      <c r="O27" s="150"/>
      <c r="P27" s="150"/>
      <c r="Q27" s="150"/>
      <c r="R27" s="372"/>
      <c r="S27" s="142"/>
      <c r="T27" s="252"/>
      <c r="U27" s="142"/>
      <c r="V27" s="142"/>
      <c r="W27" s="142"/>
      <c r="X27" s="371"/>
      <c r="Y27" s="142"/>
      <c r="Z27" s="142"/>
      <c r="AA27" s="142"/>
      <c r="AB27" s="142"/>
      <c r="AC27" s="142"/>
      <c r="AD27" s="142"/>
      <c r="AE27" s="142"/>
      <c r="AH27" s="357">
        <f>AE13*AH25</f>
        <v>1018.3903621294327</v>
      </c>
    </row>
    <row r="28" spans="1:76" s="147" customFormat="1" ht="30" customHeight="1" x14ac:dyDescent="0.2">
      <c r="A28" s="144"/>
      <c r="B28" s="145" t="s">
        <v>90</v>
      </c>
      <c r="C28" s="146"/>
      <c r="D28" s="146"/>
      <c r="E28" s="146"/>
      <c r="F28" s="146"/>
      <c r="G28" s="146"/>
      <c r="H28" s="146"/>
      <c r="I28" s="146"/>
      <c r="J28" s="150"/>
      <c r="K28" s="150"/>
      <c r="L28" s="150"/>
      <c r="M28" s="150"/>
      <c r="N28" s="150"/>
      <c r="O28" s="150"/>
      <c r="P28" s="150"/>
      <c r="Q28" s="150"/>
      <c r="R28" s="372"/>
      <c r="S28" s="94"/>
      <c r="T28" s="92"/>
      <c r="U28" s="94"/>
      <c r="V28" s="94"/>
      <c r="W28" s="94"/>
      <c r="X28" s="367"/>
      <c r="Y28" s="94"/>
      <c r="Z28" s="94"/>
      <c r="AA28" s="94"/>
      <c r="AB28" s="94"/>
      <c r="AC28" s="94"/>
      <c r="AD28" s="94"/>
      <c r="AE28" s="94"/>
      <c r="AG28" s="358"/>
      <c r="AH28" s="357" t="s">
        <v>188</v>
      </c>
    </row>
    <row r="29" spans="1:76" s="147" customFormat="1" ht="30" customHeight="1" x14ac:dyDescent="0.2">
      <c r="A29" s="144"/>
      <c r="B29" s="148" t="s">
        <v>91</v>
      </c>
      <c r="C29" s="149"/>
      <c r="D29" s="149"/>
      <c r="E29" s="149"/>
      <c r="F29" s="149"/>
      <c r="G29" s="149"/>
      <c r="H29" s="149"/>
      <c r="I29" s="149"/>
      <c r="J29" s="150"/>
      <c r="K29" s="150"/>
      <c r="L29" s="150"/>
      <c r="M29" s="150"/>
      <c r="N29" s="150"/>
      <c r="O29" s="150"/>
      <c r="P29" s="150"/>
      <c r="Q29" s="150"/>
      <c r="R29" s="372"/>
      <c r="S29" s="94"/>
      <c r="T29" s="92"/>
      <c r="U29" s="94"/>
      <c r="V29" s="94"/>
      <c r="W29" s="94"/>
      <c r="X29" s="367"/>
      <c r="Y29" s="94"/>
      <c r="Z29" s="94"/>
      <c r="AA29" s="94"/>
      <c r="AB29" s="94"/>
      <c r="AC29" s="94"/>
      <c r="AD29" s="94"/>
      <c r="AE29" s="94"/>
      <c r="AF29" s="94"/>
      <c r="AG29" s="94"/>
      <c r="AH29" s="357">
        <f>AH27*365</f>
        <v>371712.48217724293</v>
      </c>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M29" s="94"/>
      <c r="BN29" s="94"/>
      <c r="BO29" s="94"/>
      <c r="BP29" s="94"/>
      <c r="BQ29" s="94"/>
      <c r="BR29" s="94"/>
      <c r="BS29" s="94"/>
      <c r="BT29" s="94"/>
      <c r="BU29" s="94"/>
      <c r="BV29" s="94"/>
      <c r="BW29" s="94"/>
      <c r="BX29" s="94"/>
    </row>
    <row r="30" spans="1:76" s="150" customFormat="1" ht="30" customHeight="1" x14ac:dyDescent="0.25">
      <c r="R30" s="372"/>
      <c r="X30" s="372"/>
      <c r="AH30" s="357" t="s">
        <v>188</v>
      </c>
    </row>
    <row r="31" spans="1:76" s="279" customFormat="1" ht="30" customHeight="1" x14ac:dyDescent="0.2">
      <c r="A31" s="94"/>
      <c r="B31" s="94"/>
      <c r="C31" s="94"/>
      <c r="D31" s="94"/>
      <c r="E31" s="94"/>
      <c r="F31" s="94"/>
      <c r="H31" s="94"/>
      <c r="I31" s="94"/>
      <c r="J31" s="94"/>
      <c r="K31" s="94"/>
      <c r="L31" s="94"/>
      <c r="M31" s="94"/>
      <c r="N31" s="94"/>
      <c r="O31" s="94"/>
      <c r="P31" s="94"/>
      <c r="Q31" s="94"/>
      <c r="R31" s="367"/>
      <c r="T31" s="151"/>
      <c r="X31" s="370"/>
    </row>
    <row r="32" spans="1:76" s="279" customFormat="1" ht="30" customHeight="1" x14ac:dyDescent="0.2">
      <c r="R32" s="370"/>
      <c r="X32" s="370"/>
    </row>
    <row r="33" spans="1:23" x14ac:dyDescent="0.25">
      <c r="A33" s="279"/>
      <c r="B33" s="279"/>
      <c r="C33" s="279"/>
      <c r="D33" s="279"/>
      <c r="E33" s="279"/>
      <c r="F33" s="279"/>
      <c r="H33" s="279"/>
      <c r="I33" s="279"/>
      <c r="J33" s="279"/>
      <c r="K33" s="279"/>
      <c r="L33" s="279"/>
      <c r="M33" s="279"/>
      <c r="N33" s="279"/>
      <c r="O33" s="279"/>
      <c r="P33" s="279"/>
      <c r="Q33" s="279"/>
      <c r="R33" s="370"/>
      <c r="T33" s="279"/>
    </row>
    <row r="34" spans="1:23" x14ac:dyDescent="0.25">
      <c r="A34" s="279"/>
      <c r="B34" s="279"/>
      <c r="C34" s="279"/>
      <c r="D34" s="279"/>
      <c r="E34" s="279"/>
      <c r="F34" s="279"/>
      <c r="H34" s="279"/>
      <c r="I34" s="279"/>
      <c r="J34" s="279"/>
      <c r="K34" s="279"/>
      <c r="L34" s="279"/>
      <c r="M34" s="279"/>
      <c r="N34" s="279"/>
      <c r="O34" s="279"/>
      <c r="P34" s="279"/>
      <c r="Q34" s="279"/>
      <c r="R34" s="370"/>
      <c r="T34" s="279"/>
      <c r="U34"/>
      <c r="V34"/>
      <c r="W34"/>
    </row>
    <row r="35" spans="1:23" x14ac:dyDescent="0.25">
      <c r="A35" s="279"/>
      <c r="B35" s="279"/>
      <c r="C35" s="279"/>
      <c r="D35" s="279"/>
      <c r="E35" s="279"/>
      <c r="F35" s="279"/>
      <c r="H35" s="279"/>
      <c r="I35" s="279"/>
      <c r="J35" s="279"/>
      <c r="K35" s="279"/>
      <c r="L35" s="279"/>
      <c r="M35" s="279"/>
      <c r="N35" s="279"/>
      <c r="O35" s="279"/>
      <c r="P35" s="279"/>
      <c r="Q35" s="279"/>
      <c r="R35" s="370"/>
      <c r="T35" s="279"/>
      <c r="U35"/>
      <c r="V35"/>
      <c r="W35"/>
    </row>
    <row r="36" spans="1:23" x14ac:dyDescent="0.25">
      <c r="A36" s="279"/>
      <c r="B36" s="279"/>
      <c r="C36" s="279"/>
      <c r="D36" s="279"/>
      <c r="E36" s="279"/>
      <c r="F36" s="279"/>
      <c r="H36" s="279"/>
      <c r="I36" s="279"/>
      <c r="J36" s="279"/>
      <c r="K36" s="279"/>
      <c r="L36" s="279"/>
      <c r="M36" s="279"/>
      <c r="N36" s="279"/>
      <c r="O36" s="279"/>
      <c r="P36" s="279"/>
      <c r="Q36" s="279"/>
      <c r="R36" s="370"/>
      <c r="T36" s="279"/>
      <c r="U36"/>
      <c r="V36"/>
      <c r="W36"/>
    </row>
    <row r="37" spans="1:23" x14ac:dyDescent="0.25">
      <c r="A37" s="279"/>
      <c r="B37" s="279"/>
      <c r="C37" s="279"/>
      <c r="D37" s="279"/>
      <c r="E37" s="279"/>
      <c r="F37" s="279"/>
      <c r="H37" s="279"/>
      <c r="I37" s="279"/>
      <c r="J37" s="279"/>
      <c r="K37" s="279"/>
      <c r="L37" s="279"/>
      <c r="M37" s="279"/>
      <c r="N37" s="279"/>
      <c r="O37" s="279"/>
      <c r="P37" s="279"/>
      <c r="Q37" s="279"/>
      <c r="R37" s="370"/>
      <c r="T37" s="279"/>
      <c r="U37"/>
      <c r="V37"/>
      <c r="W37"/>
    </row>
    <row r="38" spans="1:23" x14ac:dyDescent="0.25">
      <c r="A38" s="279"/>
      <c r="B38" s="279"/>
      <c r="C38" s="279"/>
      <c r="D38" s="279"/>
      <c r="E38" s="279"/>
      <c r="F38" s="279"/>
      <c r="H38" s="279"/>
      <c r="I38" s="279"/>
      <c r="J38" s="279"/>
      <c r="K38" s="279"/>
      <c r="L38" s="279"/>
      <c r="M38" s="279"/>
      <c r="N38" s="279"/>
      <c r="O38" s="279"/>
      <c r="P38" s="279"/>
      <c r="Q38" s="279"/>
      <c r="R38" s="370"/>
      <c r="T38" s="279"/>
      <c r="U38"/>
      <c r="V38"/>
      <c r="W38"/>
    </row>
  </sheetData>
  <sheetProtection insertHyperlinks="0" selectLockedCells="1"/>
  <mergeCells count="39">
    <mergeCell ref="AG25:AG26"/>
    <mergeCell ref="AD5:AH12"/>
    <mergeCell ref="B2:D2"/>
    <mergeCell ref="E2:H2"/>
    <mergeCell ref="B3:C3"/>
    <mergeCell ref="C4:D4"/>
    <mergeCell ref="C5:D5"/>
    <mergeCell ref="B10:B11"/>
    <mergeCell ref="C10:C11"/>
    <mergeCell ref="D10:D11"/>
    <mergeCell ref="B6:B7"/>
    <mergeCell ref="C6:C7"/>
    <mergeCell ref="D6:D7"/>
    <mergeCell ref="S6:S7"/>
    <mergeCell ref="B8:B9"/>
    <mergeCell ref="C8:C9"/>
    <mergeCell ref="C23:D23"/>
    <mergeCell ref="E23:F23"/>
    <mergeCell ref="C24:D24"/>
    <mergeCell ref="E24:F24"/>
    <mergeCell ref="C17:D17"/>
    <mergeCell ref="E17:F17"/>
    <mergeCell ref="C19:D19"/>
    <mergeCell ref="E19:F19"/>
    <mergeCell ref="C20:D20"/>
    <mergeCell ref="E20:F20"/>
    <mergeCell ref="C18:D18"/>
    <mergeCell ref="E18:F18"/>
    <mergeCell ref="AD4:AH4"/>
    <mergeCell ref="U12:W12"/>
    <mergeCell ref="C21:D21"/>
    <mergeCell ref="E21:F21"/>
    <mergeCell ref="C22:D22"/>
    <mergeCell ref="E22:F22"/>
    <mergeCell ref="C15:D15"/>
    <mergeCell ref="C16:D16"/>
    <mergeCell ref="E16:F16"/>
    <mergeCell ref="D8:D9"/>
    <mergeCell ref="S8:S9"/>
  </mergeCells>
  <conditionalFormatting sqref="D12">
    <cfRule type="expression" dxfId="39" priority="25">
      <formula>#REF!&lt;#REF!</formula>
    </cfRule>
  </conditionalFormatting>
  <conditionalFormatting sqref="I16">
    <cfRule type="expression" dxfId="38" priority="23">
      <formula>I16&lt;J16</formula>
    </cfRule>
  </conditionalFormatting>
  <conditionalFormatting sqref="I17">
    <cfRule type="expression" dxfId="37" priority="22">
      <formula>I17&lt;J17</formula>
    </cfRule>
  </conditionalFormatting>
  <conditionalFormatting sqref="I23">
    <cfRule type="expression" dxfId="36" priority="19">
      <formula>I23&gt;J23</formula>
    </cfRule>
  </conditionalFormatting>
  <conditionalFormatting sqref="I24">
    <cfRule type="expression" dxfId="35" priority="18">
      <formula>I24&gt;J24</formula>
    </cfRule>
  </conditionalFormatting>
  <conditionalFormatting sqref="I18">
    <cfRule type="expression" dxfId="34" priority="16">
      <formula>I18&lt;J18</formula>
    </cfRule>
  </conditionalFormatting>
  <conditionalFormatting sqref="U12">
    <cfRule type="expression" dxfId="33" priority="13">
      <formula>#REF!&lt;#REF!</formula>
    </cfRule>
  </conditionalFormatting>
  <conditionalFormatting sqref="T12">
    <cfRule type="expression" dxfId="32" priority="11">
      <formula>#REF!&lt;#REF!</formula>
    </cfRule>
  </conditionalFormatting>
  <conditionalFormatting sqref="G16:G24">
    <cfRule type="expression" dxfId="31" priority="9">
      <formula>#REF!&lt;#REF!</formula>
    </cfRule>
  </conditionalFormatting>
  <conditionalFormatting sqref="B25:B26">
    <cfRule type="expression" dxfId="30" priority="5">
      <formula>#REF!&lt;#REF!</formula>
    </cfRule>
  </conditionalFormatting>
  <conditionalFormatting sqref="I15">
    <cfRule type="expression" dxfId="29" priority="2">
      <formula>#REF!&lt;#REF!</formula>
    </cfRule>
  </conditionalFormatting>
  <hyperlinks>
    <hyperlink ref="B27" r:id="rId1" display="© Copyright: Möller Agrarmarketing e.K."/>
  </hyperlinks>
  <printOptions horizontalCentered="1"/>
  <pageMargins left="0.70866141732283472" right="0.70866141732283472" top="0.78740157480314965" bottom="0.78740157480314965" header="0.31496062992125984" footer="0.31496062992125984"/>
  <pageSetup paperSize="9" scale="8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Drop Down 1">
              <controlPr defaultSize="0" autoLine="0" autoPict="0">
                <anchor moveWithCells="1" sizeWithCells="1">
                  <from>
                    <xdr:col>2</xdr:col>
                    <xdr:colOff>19050</xdr:colOff>
                    <xdr:row>3</xdr:row>
                    <xdr:rowOff>19050</xdr:rowOff>
                  </from>
                  <to>
                    <xdr:col>3</xdr:col>
                    <xdr:colOff>295275</xdr:colOff>
                    <xdr:row>3</xdr:row>
                    <xdr:rowOff>371475</xdr:rowOff>
                  </to>
                </anchor>
              </controlPr>
            </control>
          </mc:Choice>
        </mc:AlternateContent>
        <mc:AlternateContent xmlns:mc="http://schemas.openxmlformats.org/markup-compatibility/2006">
          <mc:Choice Requires="x14">
            <control shapeId="22530" r:id="rId6" name="Spinner 2">
              <controlPr defaultSize="0" autoPict="0">
                <anchor moveWithCells="1" sizeWithCells="1">
                  <from>
                    <xdr:col>3</xdr:col>
                    <xdr:colOff>9525</xdr:colOff>
                    <xdr:row>9</xdr:row>
                    <xdr:rowOff>9525</xdr:rowOff>
                  </from>
                  <to>
                    <xdr:col>3</xdr:col>
                    <xdr:colOff>304800</xdr:colOff>
                    <xdr:row>10</xdr:row>
                    <xdr:rowOff>180975</xdr:rowOff>
                  </to>
                </anchor>
              </controlPr>
            </control>
          </mc:Choice>
        </mc:AlternateContent>
        <mc:AlternateContent xmlns:mc="http://schemas.openxmlformats.org/markup-compatibility/2006">
          <mc:Choice Requires="x14">
            <control shapeId="22531" r:id="rId7" name="Drop Down 3">
              <controlPr defaultSize="0" autoLine="0" autoPict="0">
                <anchor moveWithCells="1" sizeWithCells="1">
                  <from>
                    <xdr:col>2</xdr:col>
                    <xdr:colOff>19050</xdr:colOff>
                    <xdr:row>4</xdr:row>
                    <xdr:rowOff>9525</xdr:rowOff>
                  </from>
                  <to>
                    <xdr:col>3</xdr:col>
                    <xdr:colOff>295275</xdr:colOff>
                    <xdr:row>4</xdr:row>
                    <xdr:rowOff>361950</xdr:rowOff>
                  </to>
                </anchor>
              </controlPr>
            </control>
          </mc:Choice>
        </mc:AlternateContent>
        <mc:AlternateContent xmlns:mc="http://schemas.openxmlformats.org/markup-compatibility/2006">
          <mc:Choice Requires="x14">
            <control shapeId="22532" r:id="rId8" name="Spinner 4">
              <controlPr defaultSize="0" autoPict="0">
                <anchor moveWithCells="1" sizeWithCells="1">
                  <from>
                    <xdr:col>5</xdr:col>
                    <xdr:colOff>9525</xdr:colOff>
                    <xdr:row>14</xdr:row>
                    <xdr:rowOff>9525</xdr:rowOff>
                  </from>
                  <to>
                    <xdr:col>5</xdr:col>
                    <xdr:colOff>304800</xdr:colOff>
                    <xdr:row>14</xdr:row>
                    <xdr:rowOff>371475</xdr:rowOff>
                  </to>
                </anchor>
              </controlPr>
            </control>
          </mc:Choice>
        </mc:AlternateContent>
        <mc:AlternateContent xmlns:mc="http://schemas.openxmlformats.org/markup-compatibility/2006">
          <mc:Choice Requires="x14">
            <control shapeId="22533" r:id="rId9" name="Spinner 5">
              <controlPr defaultSize="0" autoPict="0">
                <anchor moveWithCells="1" sizeWithCells="1">
                  <from>
                    <xdr:col>3</xdr:col>
                    <xdr:colOff>9525</xdr:colOff>
                    <xdr:row>12</xdr:row>
                    <xdr:rowOff>9525</xdr:rowOff>
                  </from>
                  <to>
                    <xdr:col>3</xdr:col>
                    <xdr:colOff>304800</xdr:colOff>
                    <xdr:row>12</xdr:row>
                    <xdr:rowOff>371475</xdr:rowOff>
                  </to>
                </anchor>
              </controlPr>
            </control>
          </mc:Choice>
        </mc:AlternateContent>
        <mc:AlternateContent xmlns:mc="http://schemas.openxmlformats.org/markup-compatibility/2006">
          <mc:Choice Requires="x14">
            <control shapeId="22534" r:id="rId10" name="Spinner 6">
              <controlPr defaultSize="0" autoPict="0">
                <anchor moveWithCells="1" sizeWithCells="1">
                  <from>
                    <xdr:col>3</xdr:col>
                    <xdr:colOff>9525</xdr:colOff>
                    <xdr:row>5</xdr:row>
                    <xdr:rowOff>9525</xdr:rowOff>
                  </from>
                  <to>
                    <xdr:col>3</xdr:col>
                    <xdr:colOff>304800</xdr:colOff>
                    <xdr:row>6</xdr:row>
                    <xdr:rowOff>180975</xdr:rowOff>
                  </to>
                </anchor>
              </controlPr>
            </control>
          </mc:Choice>
        </mc:AlternateContent>
        <mc:AlternateContent xmlns:mc="http://schemas.openxmlformats.org/markup-compatibility/2006">
          <mc:Choice Requires="x14">
            <control shapeId="22535" r:id="rId11" name="Spinner 7">
              <controlPr defaultSize="0" autoPict="0">
                <anchor moveWithCells="1" sizeWithCells="1">
                  <from>
                    <xdr:col>3</xdr:col>
                    <xdr:colOff>9525</xdr:colOff>
                    <xdr:row>7</xdr:row>
                    <xdr:rowOff>9525</xdr:rowOff>
                  </from>
                  <to>
                    <xdr:col>3</xdr:col>
                    <xdr:colOff>304800</xdr:colOff>
                    <xdr:row>8</xdr:row>
                    <xdr:rowOff>180975</xdr:rowOff>
                  </to>
                </anchor>
              </controlPr>
            </control>
          </mc:Choice>
        </mc:AlternateContent>
        <mc:AlternateContent xmlns:mc="http://schemas.openxmlformats.org/markup-compatibility/2006">
          <mc:Choice Requires="x14">
            <control shapeId="22536" r:id="rId12" name="Spinner 8">
              <controlPr defaultSize="0" autoPict="0">
                <anchor moveWithCells="1" sizeWithCells="1">
                  <from>
                    <xdr:col>3</xdr:col>
                    <xdr:colOff>9525</xdr:colOff>
                    <xdr:row>11</xdr:row>
                    <xdr:rowOff>9525</xdr:rowOff>
                  </from>
                  <to>
                    <xdr:col>3</xdr:col>
                    <xdr:colOff>304800</xdr:colOff>
                    <xdr:row>11</xdr:row>
                    <xdr:rowOff>371475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1AB35733-52C9-44C2-99BC-59CDF32BDA67}">
            <xm:f>Übersicht!$B$45&lt;Übersicht!$B$47</xm:f>
            <x14:dxf>
              <font>
                <color theme="1"/>
              </font>
              <fill>
                <patternFill>
                  <bgColor theme="1"/>
                </patternFill>
              </fill>
            </x14:dxf>
          </x14:cfRule>
          <xm:sqref>E4:I5 B15:D24 E15:H15 B6:I14 H16:I24</xm:sqref>
        </x14:conditionalFormatting>
        <x14:conditionalFormatting xmlns:xm="http://schemas.microsoft.com/office/excel/2006/main">
          <x14:cfRule type="expression" priority="53" id="{FD89E740-498B-45CD-93EB-51825FA033A5}">
            <xm:f>Übersicht!$B$45&lt;Übersicht!$B$47</xm:f>
            <x14:dxf>
              <font>
                <color theme="1"/>
              </font>
              <fill>
                <patternFill>
                  <bgColor theme="1"/>
                </patternFill>
              </fill>
            </x14:dxf>
          </x14:cfRule>
          <xm:sqref>B4:C5</xm:sqref>
        </x14:conditionalFormatting>
        <x14:conditionalFormatting xmlns:xm="http://schemas.microsoft.com/office/excel/2006/main">
          <x14:cfRule type="expression" priority="12" id="{2587FD86-F1CB-4085-98EC-ED4EC48D96A2}">
            <xm:f>Übersicht!$B$45&lt;Übersicht!$B$47</xm:f>
            <x14:dxf>
              <font>
                <color theme="1"/>
              </font>
              <fill>
                <patternFill>
                  <bgColor theme="1"/>
                </patternFill>
              </fill>
            </x14:dxf>
          </x14:cfRule>
          <xm:sqref>U12</xm:sqref>
        </x14:conditionalFormatting>
        <x14:conditionalFormatting xmlns:xm="http://schemas.microsoft.com/office/excel/2006/main">
          <x14:cfRule type="expression" priority="10" id="{64965AE7-0BE1-45CB-9C0E-A0792E79D94A}">
            <xm:f>Übersicht!$B$45&lt;Übersicht!$B$47</xm:f>
            <x14:dxf>
              <font>
                <color theme="1"/>
              </font>
              <fill>
                <patternFill>
                  <bgColor theme="1"/>
                </patternFill>
              </fill>
            </x14:dxf>
          </x14:cfRule>
          <xm:sqref>T12</xm:sqref>
        </x14:conditionalFormatting>
        <x14:conditionalFormatting xmlns:xm="http://schemas.microsoft.com/office/excel/2006/main">
          <x14:cfRule type="expression" priority="8" id="{FBDCD217-D415-4287-BFF8-496F01CA8660}">
            <xm:f>Übersicht!$B$45&lt;Übersicht!$B$47</xm:f>
            <x14:dxf>
              <font>
                <color theme="1"/>
              </font>
              <fill>
                <patternFill>
                  <bgColor theme="1"/>
                </patternFill>
              </fill>
            </x14:dxf>
          </x14:cfRule>
          <xm:sqref>G16:G24</xm:sqref>
        </x14:conditionalFormatting>
        <x14:conditionalFormatting xmlns:xm="http://schemas.microsoft.com/office/excel/2006/main">
          <x14:cfRule type="expression" priority="6" id="{B69FEBC2-86AF-481B-A6A9-039799D9D9A2}">
            <xm:f>Übersicht!$B$45&lt;Übersicht!$B$47</xm:f>
            <x14:dxf>
              <font>
                <color theme="1"/>
              </font>
              <fill>
                <patternFill>
                  <bgColor theme="1"/>
                </patternFill>
              </fill>
            </x14:dxf>
          </x14:cfRule>
          <xm:sqref>E16:F24</xm:sqref>
        </x14:conditionalFormatting>
        <x14:conditionalFormatting xmlns:xm="http://schemas.microsoft.com/office/excel/2006/main">
          <x14:cfRule type="expression" priority="4" id="{44A8918A-745F-49C5-8B5E-2EF38A95D5AA}">
            <xm:f>Übersicht!$B$45&lt;Übersicht!$B$47</xm:f>
            <x14:dxf>
              <font>
                <color theme="1"/>
              </font>
              <fill>
                <patternFill>
                  <bgColor theme="1"/>
                </patternFill>
              </fill>
            </x14:dxf>
          </x14:cfRule>
          <xm:sqref>B25:B26</xm:sqref>
        </x14:conditionalFormatting>
        <x14:conditionalFormatting xmlns:xm="http://schemas.microsoft.com/office/excel/2006/main">
          <x14:cfRule type="expression" priority="3" id="{7838C47B-D71E-4768-B800-0FB5B19CBDE4}">
            <xm:f>Übersicht!$B$45&lt;Übersicht!$B$47</xm:f>
            <x14:dxf>
              <font>
                <color theme="1"/>
              </font>
              <fill>
                <patternFill>
                  <bgColor theme="1"/>
                </patternFill>
              </fill>
            </x14:dxf>
          </x14:cfRule>
          <xm:sqref>F25:F26</xm:sqref>
        </x14:conditionalFormatting>
        <x14:conditionalFormatting xmlns:xm="http://schemas.microsoft.com/office/excel/2006/main">
          <x14:cfRule type="expression" priority="1" id="{211138F4-4BDD-4F5A-8D00-8BDB93F85088}">
            <xm:f>Übersicht!$B$45&lt;Übersicht!$B$47</xm:f>
            <x14:dxf>
              <font>
                <color theme="1"/>
              </font>
              <fill>
                <patternFill>
                  <bgColor theme="1"/>
                </patternFill>
              </fill>
            </x14:dxf>
          </x14:cfRule>
          <xm:sqref>I15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38"/>
  <sheetViews>
    <sheetView showGridLines="0" workbookViewId="0">
      <selection activeCell="C10" sqref="C10:C11"/>
    </sheetView>
  </sheetViews>
  <sheetFormatPr baseColWidth="10" defaultRowHeight="15" x14ac:dyDescent="0.25"/>
  <cols>
    <col min="1" max="1" width="11.42578125" style="94"/>
    <col min="2" max="2" width="16.7109375" style="94" customWidth="1"/>
    <col min="3" max="3" width="12.7109375" style="94" customWidth="1"/>
    <col min="4" max="4" width="4.7109375" style="94" customWidth="1"/>
    <col min="5" max="5" width="14.7109375" style="94" customWidth="1"/>
    <col min="6" max="6" width="4.7109375" style="94" customWidth="1"/>
    <col min="7" max="7" width="15.7109375" style="279" customWidth="1"/>
    <col min="8" max="9" width="15.7109375" style="94" customWidth="1"/>
    <col min="10" max="10" width="18.28515625" style="94" customWidth="1"/>
    <col min="11" max="11" width="7.7109375" style="279" hidden="1" customWidth="1"/>
    <col min="12" max="12" width="11.5703125" style="151" hidden="1" customWidth="1"/>
    <col min="13" max="13" width="15" style="279" hidden="1" customWidth="1"/>
    <col min="14" max="15" width="14.140625" style="279" hidden="1" customWidth="1"/>
  </cols>
  <sheetData>
    <row r="1" spans="1:40" s="94" customFormat="1" ht="15" customHeight="1" x14ac:dyDescent="0.2">
      <c r="A1" s="92"/>
      <c r="B1" s="92"/>
      <c r="C1" s="92"/>
      <c r="D1" s="93"/>
      <c r="E1" s="92"/>
      <c r="F1" s="92"/>
      <c r="H1" s="92"/>
      <c r="I1" s="93"/>
      <c r="K1" s="96"/>
      <c r="L1" s="95"/>
    </row>
    <row r="2" spans="1:40" s="92" customFormat="1" ht="40.5" customHeight="1" x14ac:dyDescent="0.25">
      <c r="A2" s="97"/>
      <c r="B2" s="431" t="s">
        <v>49</v>
      </c>
      <c r="C2" s="431"/>
      <c r="D2" s="431"/>
      <c r="E2" s="441" t="s">
        <v>161</v>
      </c>
      <c r="F2" s="441"/>
      <c r="G2" s="441"/>
      <c r="H2" s="441"/>
      <c r="I2" s="260"/>
      <c r="K2" s="95"/>
      <c r="L2" s="95"/>
      <c r="AK2" s="94"/>
      <c r="AL2" s="94"/>
      <c r="AM2" s="94"/>
      <c r="AN2" s="94"/>
    </row>
    <row r="3" spans="1:40" s="99" customFormat="1" ht="15" customHeight="1" x14ac:dyDescent="0.2">
      <c r="A3" s="97"/>
      <c r="B3" s="432"/>
      <c r="C3" s="432"/>
      <c r="D3" s="98"/>
      <c r="E3" s="134"/>
      <c r="F3" s="134"/>
      <c r="H3" s="288"/>
      <c r="I3" s="98"/>
      <c r="K3" s="101"/>
      <c r="L3" s="250"/>
      <c r="M3" s="308" t="s">
        <v>156</v>
      </c>
      <c r="P3" s="92"/>
    </row>
    <row r="4" spans="1:40" s="99" customFormat="1" ht="30" customHeight="1" x14ac:dyDescent="0.2">
      <c r="A4" s="97"/>
      <c r="B4" s="129" t="s">
        <v>83</v>
      </c>
      <c r="C4" s="462">
        <v>3</v>
      </c>
      <c r="D4" s="463"/>
      <c r="E4" s="265"/>
      <c r="G4" s="266" t="s">
        <v>123</v>
      </c>
      <c r="H4" s="270" t="str">
        <f>M15</f>
        <v>Energiebedarf</v>
      </c>
      <c r="I4" s="270" t="s">
        <v>122</v>
      </c>
      <c r="L4" s="97"/>
      <c r="M4" s="315" t="s">
        <v>160</v>
      </c>
    </row>
    <row r="5" spans="1:40" s="99" customFormat="1" ht="30" customHeight="1" x14ac:dyDescent="0.2">
      <c r="A5" s="97"/>
      <c r="B5" s="129" t="s">
        <v>86</v>
      </c>
      <c r="C5" s="462">
        <v>9</v>
      </c>
      <c r="D5" s="463"/>
      <c r="E5" s="264"/>
      <c r="H5" s="271">
        <f t="shared" ref="H5:H13" si="0">M16</f>
        <v>180.02799999999999</v>
      </c>
      <c r="I5" s="271">
        <f>N16+O16</f>
        <v>157.76100258733203</v>
      </c>
      <c r="L5" s="97"/>
      <c r="M5" s="309" t="s">
        <v>158</v>
      </c>
    </row>
    <row r="6" spans="1:40" s="99" customFormat="1" ht="15" customHeight="1" x14ac:dyDescent="0.2">
      <c r="A6" s="97"/>
      <c r="B6" s="442" t="s">
        <v>107</v>
      </c>
      <c r="C6" s="446">
        <f>K6/10</f>
        <v>3.4</v>
      </c>
      <c r="D6" s="452"/>
      <c r="E6" s="264"/>
      <c r="H6" s="271">
        <f t="shared" si="0"/>
        <v>186.59599999999998</v>
      </c>
      <c r="I6" s="271">
        <f t="shared" ref="I6:I13" si="1">N17+O17</f>
        <v>166.26239152086691</v>
      </c>
      <c r="K6" s="459">
        <v>34</v>
      </c>
      <c r="L6" s="97"/>
    </row>
    <row r="7" spans="1:40" s="99" customFormat="1" ht="15" customHeight="1" x14ac:dyDescent="0.2">
      <c r="A7" s="97"/>
      <c r="B7" s="443"/>
      <c r="C7" s="447"/>
      <c r="D7" s="452"/>
      <c r="E7" s="264"/>
      <c r="H7" s="271">
        <f t="shared" si="0"/>
        <v>183.31199999999998</v>
      </c>
      <c r="I7" s="271">
        <f t="shared" si="1"/>
        <v>168.38207651851786</v>
      </c>
      <c r="K7" s="459"/>
      <c r="L7" s="251"/>
    </row>
    <row r="8" spans="1:40" s="99" customFormat="1" ht="15" customHeight="1" x14ac:dyDescent="0.2">
      <c r="A8" s="97"/>
      <c r="B8" s="442" t="s">
        <v>108</v>
      </c>
      <c r="C8" s="448">
        <f>K8/10</f>
        <v>4</v>
      </c>
      <c r="D8" s="453"/>
      <c r="E8" s="264"/>
      <c r="H8" s="271">
        <f t="shared" si="0"/>
        <v>170.17599999999999</v>
      </c>
      <c r="I8" s="271">
        <f t="shared" si="1"/>
        <v>165.00756906035122</v>
      </c>
      <c r="K8" s="460">
        <v>40</v>
      </c>
      <c r="L8" s="251"/>
    </row>
    <row r="9" spans="1:40" s="99" customFormat="1" ht="15" customHeight="1" x14ac:dyDescent="0.2">
      <c r="A9" s="97"/>
      <c r="B9" s="443" t="s">
        <v>108</v>
      </c>
      <c r="C9" s="449"/>
      <c r="D9" s="454"/>
      <c r="E9" s="264"/>
      <c r="H9" s="271">
        <f t="shared" si="0"/>
        <v>157.04</v>
      </c>
      <c r="I9" s="271">
        <f t="shared" si="1"/>
        <v>157.92541156863729</v>
      </c>
      <c r="K9" s="461"/>
      <c r="L9" s="251"/>
    </row>
    <row r="10" spans="1:40" s="99" customFormat="1" ht="15" customHeight="1" x14ac:dyDescent="0.2">
      <c r="A10" s="97"/>
      <c r="B10" s="444" t="s">
        <v>63</v>
      </c>
      <c r="C10" s="450">
        <v>750</v>
      </c>
      <c r="D10" s="455"/>
      <c r="E10" s="264"/>
      <c r="H10" s="271">
        <f t="shared" si="0"/>
        <v>143.904</v>
      </c>
      <c r="I10" s="271">
        <f t="shared" si="1"/>
        <v>148.95816990594841</v>
      </c>
      <c r="K10" s="101"/>
      <c r="L10" s="251"/>
    </row>
    <row r="11" spans="1:40" s="94" customFormat="1" ht="15" customHeight="1" x14ac:dyDescent="0.2">
      <c r="B11" s="445"/>
      <c r="C11" s="451"/>
      <c r="D11" s="456"/>
      <c r="E11" s="264"/>
      <c r="F11" s="99"/>
      <c r="G11" s="264"/>
      <c r="H11" s="271">
        <f t="shared" si="0"/>
        <v>130.768</v>
      </c>
      <c r="I11" s="271">
        <f t="shared" si="1"/>
        <v>139.76077605811679</v>
      </c>
      <c r="K11" s="318" t="s">
        <v>164</v>
      </c>
      <c r="L11" s="318" t="s">
        <v>163</v>
      </c>
    </row>
    <row r="12" spans="1:40" s="94" customFormat="1" ht="30" customHeight="1" x14ac:dyDescent="0.2">
      <c r="A12" s="269"/>
      <c r="B12" s="104" t="s">
        <v>165</v>
      </c>
      <c r="C12" s="272">
        <f>K12/10</f>
        <v>6.7</v>
      </c>
      <c r="D12" s="105"/>
      <c r="E12" s="264"/>
      <c r="F12" s="99"/>
      <c r="G12" s="264"/>
      <c r="H12" s="271">
        <f t="shared" si="0"/>
        <v>111.06399999999999</v>
      </c>
      <c r="I12" s="271">
        <f t="shared" si="1"/>
        <v>127.15063079777843</v>
      </c>
      <c r="K12" s="317">
        <v>67</v>
      </c>
      <c r="L12" s="320">
        <f>C12/88*100</f>
        <v>7.6136363636363642</v>
      </c>
      <c r="M12" s="434" t="s">
        <v>167</v>
      </c>
      <c r="N12" s="435"/>
      <c r="O12" s="435"/>
    </row>
    <row r="13" spans="1:40" s="94" customFormat="1" ht="30" customHeight="1" x14ac:dyDescent="0.2">
      <c r="B13" s="104" t="s">
        <v>66</v>
      </c>
      <c r="C13" s="272">
        <f>K13/10</f>
        <v>6.3</v>
      </c>
      <c r="D13" s="105"/>
      <c r="E13" s="264"/>
      <c r="F13" s="99"/>
      <c r="G13" s="264"/>
      <c r="H13" s="271">
        <f t="shared" si="0"/>
        <v>101.21199999999999</v>
      </c>
      <c r="I13" s="271">
        <f t="shared" si="1"/>
        <v>122.16759011391056</v>
      </c>
      <c r="K13" s="289">
        <v>63</v>
      </c>
      <c r="L13" s="251"/>
      <c r="M13" s="309" t="s">
        <v>157</v>
      </c>
    </row>
    <row r="14" spans="1:40" s="94" customFormat="1" ht="15" customHeight="1" x14ac:dyDescent="0.2">
      <c r="A14" s="135"/>
      <c r="B14" s="135"/>
      <c r="C14" s="135"/>
      <c r="D14" s="103"/>
      <c r="E14" s="273"/>
      <c r="H14" s="103"/>
      <c r="I14" s="103"/>
      <c r="J14" s="103"/>
      <c r="K14" s="96"/>
      <c r="L14" s="95"/>
      <c r="M14" s="309" t="s">
        <v>156</v>
      </c>
    </row>
    <row r="15" spans="1:40" s="274" customFormat="1" ht="30" customHeight="1" x14ac:dyDescent="0.25">
      <c r="A15" s="135"/>
      <c r="B15" s="136" t="s">
        <v>62</v>
      </c>
      <c r="C15" s="436" t="s">
        <v>87</v>
      </c>
      <c r="D15" s="437"/>
      <c r="E15" s="316">
        <v>45</v>
      </c>
      <c r="F15" s="105"/>
      <c r="G15" s="102" t="s">
        <v>121</v>
      </c>
      <c r="H15" s="102" t="s">
        <v>88</v>
      </c>
      <c r="I15" s="102" t="s">
        <v>176</v>
      </c>
      <c r="J15" s="262" t="s">
        <v>124</v>
      </c>
      <c r="L15" s="95"/>
      <c r="M15" s="312" t="s">
        <v>118</v>
      </c>
      <c r="N15" s="275" t="s">
        <v>119</v>
      </c>
      <c r="O15" s="275" t="s">
        <v>120</v>
      </c>
    </row>
    <row r="16" spans="1:40" s="279" customFormat="1" ht="30" customHeight="1" x14ac:dyDescent="0.2">
      <c r="A16" s="261"/>
      <c r="B16" s="137">
        <v>20</v>
      </c>
      <c r="C16" s="438">
        <f>INDEX(Lakkurve!$O$6:$Y$14,MATCH(B16,Lakkurve!$A$6:$A$14,0),MATCH($C$5,Lakkurve!$O$4:$Y$4,0))</f>
        <v>42</v>
      </c>
      <c r="D16" s="439"/>
      <c r="E16" s="466">
        <f>$E$15/100*H16*100/88</f>
        <v>11.706812302414072</v>
      </c>
      <c r="F16" s="467"/>
      <c r="G16" s="277">
        <f>H16-(E16*88/100)</f>
        <v>12.59132700970758</v>
      </c>
      <c r="H16" s="278">
        <f>'F5'!X$35</f>
        <v>22.893321835831962</v>
      </c>
      <c r="I16" s="253">
        <f t="shared" ref="I16:I24" si="2">-M16+N16+O16</f>
        <v>-22.266997412667962</v>
      </c>
      <c r="J16" s="261">
        <v>-10</v>
      </c>
      <c r="K16" s="274"/>
      <c r="L16" s="95"/>
      <c r="M16" s="306">
        <f>Bedarf!$C$34+Bedarf!$H$34*C16</f>
        <v>180.02799999999999</v>
      </c>
      <c r="N16" s="281">
        <f>$C$12*E16</f>
        <v>78.435642426174283</v>
      </c>
      <c r="O16" s="280">
        <f>$C$13*G16</f>
        <v>79.325360161157747</v>
      </c>
    </row>
    <row r="17" spans="1:63" s="279" customFormat="1" ht="30" customHeight="1" x14ac:dyDescent="0.2">
      <c r="A17" s="261"/>
      <c r="B17" s="137">
        <v>40</v>
      </c>
      <c r="C17" s="438">
        <f>INDEX(Lakkurve!$O$6:$Y$14,MATCH(B17,Lakkurve!$A$6:$A$14,0),MATCH($C$5,Lakkurve!$O$4:$Y$4,0))</f>
        <v>44</v>
      </c>
      <c r="D17" s="439"/>
      <c r="E17" s="466">
        <f t="shared" ref="E17:E24" si="3">$E$15/100*H17*100/88</f>
        <v>12.337666334288137</v>
      </c>
      <c r="F17" s="467"/>
      <c r="G17" s="277">
        <f t="shared" ref="G17:G24" si="4">H17-(E17*88/100)</f>
        <v>13.269845568434349</v>
      </c>
      <c r="H17" s="278">
        <f>'F5'!Y$35</f>
        <v>24.126991942607908</v>
      </c>
      <c r="I17" s="253">
        <f t="shared" si="2"/>
        <v>-20.333608479133062</v>
      </c>
      <c r="J17" s="261">
        <v>-10</v>
      </c>
      <c r="K17" s="274"/>
      <c r="L17" s="95"/>
      <c r="M17" s="306">
        <f>Bedarf!$C$34+Bedarf!$H$34*C17</f>
        <v>186.59599999999998</v>
      </c>
      <c r="N17" s="281">
        <f t="shared" ref="N17:N24" si="5">$C$12*E17</f>
        <v>82.662364439730524</v>
      </c>
      <c r="O17" s="280">
        <f t="shared" ref="O17:O24" si="6">$C$13*G17</f>
        <v>83.600027081136389</v>
      </c>
    </row>
    <row r="18" spans="1:63" s="279" customFormat="1" ht="30" customHeight="1" x14ac:dyDescent="0.2">
      <c r="A18" s="261"/>
      <c r="B18" s="137">
        <v>60</v>
      </c>
      <c r="C18" s="438">
        <f>INDEX(Lakkurve!$O$6:$Y$14,MATCH(B18,Lakkurve!$A$6:$A$14,0),MATCH($C$5,Lakkurve!$O$4:$Y$4,0))</f>
        <v>43</v>
      </c>
      <c r="D18" s="439"/>
      <c r="E18" s="466">
        <f t="shared" si="3"/>
        <v>12.494959670415398</v>
      </c>
      <c r="F18" s="467"/>
      <c r="G18" s="277">
        <f t="shared" si="4"/>
        <v>13.439023289957891</v>
      </c>
      <c r="H18" s="278">
        <f>'F5'!Z$35</f>
        <v>24.434587799923442</v>
      </c>
      <c r="I18" s="253">
        <f t="shared" si="2"/>
        <v>-14.929923481482106</v>
      </c>
      <c r="J18" s="261">
        <v>-10</v>
      </c>
      <c r="K18" s="274"/>
      <c r="L18" s="95"/>
      <c r="M18" s="306">
        <f>Bedarf!$C$34+Bedarf!$H$34*C18</f>
        <v>183.31199999999998</v>
      </c>
      <c r="N18" s="281">
        <f t="shared" si="5"/>
        <v>83.716229791783164</v>
      </c>
      <c r="O18" s="280">
        <f t="shared" si="6"/>
        <v>84.665846726734713</v>
      </c>
    </row>
    <row r="19" spans="1:63" s="279" customFormat="1" ht="30" customHeight="1" x14ac:dyDescent="0.2">
      <c r="A19" s="261"/>
      <c r="B19" s="137">
        <v>100</v>
      </c>
      <c r="C19" s="438">
        <f>INDEX(Lakkurve!$O$6:$Y$14,MATCH(B19,Lakkurve!$A$6:$A$14,0),MATCH($C$5,Lakkurve!$O$4:$Y$4,0))</f>
        <v>39</v>
      </c>
      <c r="D19" s="439"/>
      <c r="E19" s="466">
        <f t="shared" si="3"/>
        <v>12.244550983997566</v>
      </c>
      <c r="F19" s="467"/>
      <c r="G19" s="277">
        <f t="shared" si="4"/>
        <v>13.169694836121826</v>
      </c>
      <c r="H19" s="278">
        <f>'F5'!AA$35</f>
        <v>23.944899702039685</v>
      </c>
      <c r="I19" s="253">
        <f t="shared" si="2"/>
        <v>-5.1684309396487862</v>
      </c>
      <c r="J19" s="261">
        <f>0</f>
        <v>0</v>
      </c>
      <c r="K19" s="274"/>
      <c r="L19" s="95"/>
      <c r="M19" s="306">
        <f>Bedarf!$C$34+Bedarf!$H$34*C19</f>
        <v>170.17599999999999</v>
      </c>
      <c r="N19" s="281">
        <f t="shared" si="5"/>
        <v>82.0384915927837</v>
      </c>
      <c r="O19" s="280">
        <f t="shared" si="6"/>
        <v>82.969077467567502</v>
      </c>
    </row>
    <row r="20" spans="1:63" s="279" customFormat="1" ht="30" customHeight="1" x14ac:dyDescent="0.2">
      <c r="A20" s="261"/>
      <c r="B20" s="137">
        <v>150</v>
      </c>
      <c r="C20" s="471">
        <f>INDEX(Lakkurve!$O$6:$Y$14,MATCH(B20,Lakkurve!$A$6:$A$14,0),MATCH($C$5,Lakkurve!$O$4:$Y$4,0))</f>
        <v>35</v>
      </c>
      <c r="D20" s="472"/>
      <c r="E20" s="466">
        <f t="shared" si="3"/>
        <v>11.719012434597602</v>
      </c>
      <c r="F20" s="467"/>
      <c r="G20" s="277">
        <f t="shared" si="4"/>
        <v>12.60444892965609</v>
      </c>
      <c r="H20" s="278">
        <f>'F5'!AB$35</f>
        <v>22.917179872101979</v>
      </c>
      <c r="I20" s="253">
        <f t="shared" si="2"/>
        <v>0.88541156863730919</v>
      </c>
      <c r="J20" s="261">
        <f>0</f>
        <v>0</v>
      </c>
      <c r="K20" s="274"/>
      <c r="L20" s="95"/>
      <c r="M20" s="306">
        <f>Bedarf!$C$34+Bedarf!$H$34*C20</f>
        <v>157.04</v>
      </c>
      <c r="N20" s="281">
        <f t="shared" si="5"/>
        <v>78.51738331180394</v>
      </c>
      <c r="O20" s="280">
        <f t="shared" si="6"/>
        <v>79.408028256833362</v>
      </c>
    </row>
    <row r="21" spans="1:63" s="279" customFormat="1" ht="30" customHeight="1" x14ac:dyDescent="0.2">
      <c r="A21" s="261"/>
      <c r="B21" s="137">
        <v>200</v>
      </c>
      <c r="C21" s="438">
        <f>INDEX(Lakkurve!$O$6:$Y$14,MATCH(B21,Lakkurve!$A$6:$A$14,0),MATCH($C$5,Lakkurve!$O$4:$Y$4,0))</f>
        <v>31</v>
      </c>
      <c r="D21" s="439"/>
      <c r="E21" s="466">
        <f t="shared" si="3"/>
        <v>11.053589337039805</v>
      </c>
      <c r="F21" s="467"/>
      <c r="G21" s="277">
        <f t="shared" si="4"/>
        <v>11.888749420282812</v>
      </c>
      <c r="H21" s="278">
        <f>'F5'!AC$35</f>
        <v>21.61590803687784</v>
      </c>
      <c r="I21" s="253">
        <f t="shared" si="2"/>
        <v>5.0541699059484131</v>
      </c>
      <c r="J21" s="261">
        <v>0</v>
      </c>
      <c r="K21" s="274"/>
      <c r="L21" s="95"/>
      <c r="M21" s="306">
        <f>Bedarf!$C$34+Bedarf!$H$34*C21</f>
        <v>143.904</v>
      </c>
      <c r="N21" s="281">
        <f t="shared" si="5"/>
        <v>74.059048558166694</v>
      </c>
      <c r="O21" s="280">
        <f t="shared" si="6"/>
        <v>74.899121347781715</v>
      </c>
    </row>
    <row r="22" spans="1:63" s="279" customFormat="1" ht="30" customHeight="1" x14ac:dyDescent="0.2">
      <c r="A22" s="261"/>
      <c r="B22" s="137">
        <v>250</v>
      </c>
      <c r="C22" s="438">
        <f>INDEX(Lakkurve!$O$6:$Y$14,MATCH(B22,Lakkurve!$A$6:$A$14,0),MATCH($C$5,Lakkurve!$O$4:$Y$4,0))</f>
        <v>27</v>
      </c>
      <c r="D22" s="439"/>
      <c r="E22" s="466">
        <f t="shared" si="3"/>
        <v>10.371087567387709</v>
      </c>
      <c r="F22" s="467"/>
      <c r="G22" s="277">
        <f t="shared" si="4"/>
        <v>11.154680850257002</v>
      </c>
      <c r="H22" s="278">
        <f>'F5'!AD$35</f>
        <v>20.281237909558186</v>
      </c>
      <c r="I22" s="253">
        <f t="shared" si="2"/>
        <v>8.9927760581167746</v>
      </c>
      <c r="J22" s="261">
        <v>0</v>
      </c>
      <c r="K22" s="274"/>
      <c r="L22" s="95"/>
      <c r="M22" s="306">
        <f>Bedarf!$C$34+Bedarf!$H$34*C22</f>
        <v>130.768</v>
      </c>
      <c r="N22" s="281">
        <f t="shared" si="5"/>
        <v>69.486286701497662</v>
      </c>
      <c r="O22" s="280">
        <f t="shared" si="6"/>
        <v>70.274489356619114</v>
      </c>
    </row>
    <row r="23" spans="1:63" s="279" customFormat="1" ht="30" customHeight="1" x14ac:dyDescent="0.2">
      <c r="A23" s="261"/>
      <c r="B23" s="137">
        <v>300</v>
      </c>
      <c r="C23" s="438">
        <f>INDEX(Lakkurve!$O$6:$Y$14,MATCH(B23,Lakkurve!$A$6:$A$14,0),MATCH($C$5,Lakkurve!$O$4:$Y$4,0))</f>
        <v>21</v>
      </c>
      <c r="D23" s="439"/>
      <c r="E23" s="466">
        <f t="shared" si="3"/>
        <v>9.4353391806009519</v>
      </c>
      <c r="F23" s="467"/>
      <c r="G23" s="277">
        <f t="shared" si="4"/>
        <v>10.148231474246359</v>
      </c>
      <c r="H23" s="278">
        <f>'F5'!AE$35</f>
        <v>18.451329953175197</v>
      </c>
      <c r="I23" s="253">
        <f t="shared" si="2"/>
        <v>16.086630797778447</v>
      </c>
      <c r="J23" s="261">
        <v>5</v>
      </c>
      <c r="K23" s="274"/>
      <c r="L23" s="95"/>
      <c r="M23" s="306">
        <f>Bedarf!$C$34+Bedarf!$H$34*C23</f>
        <v>111.06399999999999</v>
      </c>
      <c r="N23" s="281">
        <f t="shared" si="5"/>
        <v>63.216772510026381</v>
      </c>
      <c r="O23" s="280">
        <f t="shared" si="6"/>
        <v>63.933858287752059</v>
      </c>
    </row>
    <row r="24" spans="1:63" s="279" customFormat="1" ht="30" customHeight="1" x14ac:dyDescent="0.2">
      <c r="A24" s="261"/>
      <c r="B24" s="137">
        <v>350</v>
      </c>
      <c r="C24" s="438">
        <f>INDEX(Lakkurve!$O$6:$Y$14,MATCH(B24,Lakkurve!$A$6:$A$14,0),MATCH($C$5,Lakkurve!$O$4:$Y$4,0))</f>
        <v>18</v>
      </c>
      <c r="D24" s="439"/>
      <c r="E24" s="466">
        <f t="shared" si="3"/>
        <v>9.0655676843210546</v>
      </c>
      <c r="F24" s="467"/>
      <c r="G24" s="277">
        <f t="shared" si="4"/>
        <v>9.7505216871364269</v>
      </c>
      <c r="H24" s="278">
        <f>'F5'!AF$35</f>
        <v>17.728221249338954</v>
      </c>
      <c r="I24" s="253">
        <f t="shared" si="2"/>
        <v>20.955590113910567</v>
      </c>
      <c r="J24" s="261">
        <v>5</v>
      </c>
      <c r="K24" s="274"/>
      <c r="L24" s="95"/>
      <c r="M24" s="306">
        <f>Bedarf!$C$34+Bedarf!$H$34*C24</f>
        <v>101.21199999999999</v>
      </c>
      <c r="N24" s="281">
        <f t="shared" si="5"/>
        <v>60.739303484951066</v>
      </c>
      <c r="O24" s="280">
        <f t="shared" si="6"/>
        <v>61.428286628959491</v>
      </c>
    </row>
    <row r="25" spans="1:63" s="279" customFormat="1" ht="14.25" x14ac:dyDescent="0.2">
      <c r="A25" s="94"/>
      <c r="B25" s="329" t="s">
        <v>170</v>
      </c>
      <c r="C25" s="94"/>
      <c r="D25" s="94"/>
      <c r="E25" s="324"/>
      <c r="F25" s="329" t="s">
        <v>174</v>
      </c>
      <c r="H25" s="94"/>
      <c r="I25" s="94"/>
      <c r="J25" s="94"/>
      <c r="L25" s="151"/>
    </row>
    <row r="26" spans="1:63" s="279" customFormat="1" ht="14.25" x14ac:dyDescent="0.2">
      <c r="A26" s="94"/>
      <c r="B26" s="329"/>
      <c r="C26" s="94"/>
      <c r="D26" s="94"/>
      <c r="E26" s="331"/>
      <c r="F26" s="329" t="s">
        <v>177</v>
      </c>
      <c r="H26" s="94"/>
      <c r="I26" s="94"/>
      <c r="J26" s="94"/>
      <c r="L26" s="151"/>
    </row>
    <row r="27" spans="1:63" s="143" customFormat="1" ht="11.25" customHeight="1" x14ac:dyDescent="0.2">
      <c r="A27" s="138"/>
      <c r="B27" s="139" t="s">
        <v>89</v>
      </c>
      <c r="C27" s="140"/>
      <c r="D27" s="140"/>
      <c r="E27" s="140"/>
      <c r="F27" s="140"/>
      <c r="G27" s="140"/>
      <c r="H27" s="140"/>
      <c r="I27" s="140"/>
      <c r="J27" s="150"/>
      <c r="K27" s="142"/>
      <c r="L27" s="252"/>
      <c r="M27" s="142"/>
      <c r="N27" s="142"/>
      <c r="O27" s="142"/>
      <c r="P27" s="142"/>
      <c r="Q27" s="142"/>
      <c r="R27" s="142"/>
    </row>
    <row r="28" spans="1:63" s="147" customFormat="1" ht="11.25" customHeight="1" x14ac:dyDescent="0.2">
      <c r="A28" s="144"/>
      <c r="B28" s="145" t="s">
        <v>90</v>
      </c>
      <c r="C28" s="146"/>
      <c r="D28" s="146"/>
      <c r="E28" s="146"/>
      <c r="F28" s="146"/>
      <c r="G28" s="146"/>
      <c r="H28" s="146"/>
      <c r="I28" s="146"/>
      <c r="J28" s="150"/>
      <c r="K28" s="94"/>
      <c r="L28" s="92"/>
      <c r="M28" s="94"/>
      <c r="N28" s="94"/>
      <c r="O28" s="94"/>
      <c r="P28" s="94"/>
      <c r="Q28" s="94"/>
      <c r="R28" s="94"/>
    </row>
    <row r="29" spans="1:63" s="147" customFormat="1" ht="11.25" customHeight="1" x14ac:dyDescent="0.2">
      <c r="A29" s="144"/>
      <c r="B29" s="148" t="s">
        <v>91</v>
      </c>
      <c r="C29" s="149"/>
      <c r="D29" s="149"/>
      <c r="E29" s="149"/>
      <c r="F29" s="149"/>
      <c r="G29" s="149"/>
      <c r="H29" s="149"/>
      <c r="I29" s="149"/>
      <c r="J29" s="150"/>
      <c r="K29" s="94"/>
      <c r="L29" s="92"/>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Z29" s="94"/>
      <c r="BA29" s="94"/>
      <c r="BB29" s="94"/>
      <c r="BC29" s="94"/>
      <c r="BD29" s="94"/>
      <c r="BE29" s="94"/>
      <c r="BF29" s="94"/>
      <c r="BG29" s="94"/>
      <c r="BH29" s="94"/>
      <c r="BI29" s="94"/>
      <c r="BJ29" s="94"/>
      <c r="BK29" s="94"/>
    </row>
    <row r="30" spans="1:63" s="150" customFormat="1" ht="14.25" x14ac:dyDescent="0.25"/>
    <row r="31" spans="1:63" s="279" customFormat="1" ht="30" customHeight="1" x14ac:dyDescent="0.2">
      <c r="A31" s="94"/>
      <c r="B31" s="94"/>
      <c r="C31" s="94"/>
      <c r="D31" s="94"/>
      <c r="E31" s="94"/>
      <c r="F31" s="94"/>
      <c r="H31" s="94"/>
      <c r="I31" s="94"/>
      <c r="J31" s="94"/>
      <c r="L31" s="151"/>
    </row>
    <row r="32" spans="1:63" s="279" customFormat="1" ht="30" customHeight="1" x14ac:dyDescent="0.2"/>
    <row r="33" spans="1:15" x14ac:dyDescent="0.25">
      <c r="A33" s="279"/>
      <c r="B33" s="279"/>
      <c r="C33" s="279"/>
      <c r="D33" s="279"/>
      <c r="E33" s="279"/>
      <c r="F33" s="279"/>
      <c r="H33" s="279"/>
      <c r="I33" s="279"/>
      <c r="J33" s="279"/>
      <c r="L33" s="279"/>
    </row>
    <row r="34" spans="1:15" x14ac:dyDescent="0.25">
      <c r="A34" s="279"/>
      <c r="B34" s="279"/>
      <c r="C34" s="279"/>
      <c r="D34" s="279"/>
      <c r="E34" s="279"/>
      <c r="F34" s="279"/>
      <c r="H34" s="279"/>
      <c r="I34" s="279"/>
      <c r="J34" s="279"/>
      <c r="L34" s="279"/>
      <c r="M34"/>
      <c r="N34"/>
      <c r="O34"/>
    </row>
    <row r="35" spans="1:15" x14ac:dyDescent="0.25">
      <c r="A35" s="279"/>
      <c r="B35" s="279"/>
      <c r="C35" s="279"/>
      <c r="D35" s="279"/>
      <c r="E35" s="279"/>
      <c r="F35" s="279"/>
      <c r="H35" s="279"/>
      <c r="I35" s="279"/>
      <c r="J35" s="279"/>
      <c r="L35" s="279"/>
      <c r="M35"/>
      <c r="N35"/>
      <c r="O35"/>
    </row>
    <row r="36" spans="1:15" x14ac:dyDescent="0.25">
      <c r="A36" s="279"/>
      <c r="B36" s="279"/>
      <c r="C36" s="279"/>
      <c r="D36" s="279"/>
      <c r="E36" s="279"/>
      <c r="F36" s="279"/>
      <c r="H36" s="279"/>
      <c r="I36" s="279"/>
      <c r="J36" s="279"/>
      <c r="L36" s="279"/>
      <c r="M36"/>
      <c r="N36"/>
      <c r="O36"/>
    </row>
    <row r="37" spans="1:15" x14ac:dyDescent="0.25">
      <c r="A37" s="279"/>
      <c r="B37" s="279"/>
      <c r="C37" s="279"/>
      <c r="D37" s="279"/>
      <c r="E37" s="279"/>
      <c r="F37" s="279"/>
      <c r="H37" s="279"/>
      <c r="I37" s="279"/>
      <c r="J37" s="279"/>
      <c r="L37" s="279"/>
      <c r="M37"/>
      <c r="N37"/>
      <c r="O37"/>
    </row>
    <row r="38" spans="1:15" x14ac:dyDescent="0.25">
      <c r="A38" s="279"/>
      <c r="B38" s="279"/>
      <c r="C38" s="279"/>
      <c r="D38" s="279"/>
      <c r="E38" s="279"/>
      <c r="F38" s="279"/>
      <c r="H38" s="279"/>
      <c r="I38" s="279"/>
      <c r="J38" s="279"/>
      <c r="L38" s="279"/>
      <c r="M38"/>
      <c r="N38"/>
      <c r="O38"/>
    </row>
  </sheetData>
  <sheetProtection password="CF35" sheet="1" objects="1" scenarios="1" insertHyperlinks="0" selectLockedCells="1"/>
  <mergeCells count="36">
    <mergeCell ref="B2:D2"/>
    <mergeCell ref="E2:H2"/>
    <mergeCell ref="B3:C3"/>
    <mergeCell ref="C4:D4"/>
    <mergeCell ref="C5:D5"/>
    <mergeCell ref="B10:B11"/>
    <mergeCell ref="C10:C11"/>
    <mergeCell ref="D10:D11"/>
    <mergeCell ref="B6:B7"/>
    <mergeCell ref="C6:C7"/>
    <mergeCell ref="D6:D7"/>
    <mergeCell ref="K6:K7"/>
    <mergeCell ref="B8:B9"/>
    <mergeCell ref="C8:C9"/>
    <mergeCell ref="D8:D9"/>
    <mergeCell ref="K8:K9"/>
    <mergeCell ref="C23:D23"/>
    <mergeCell ref="E23:F23"/>
    <mergeCell ref="C24:D24"/>
    <mergeCell ref="E24:F24"/>
    <mergeCell ref="C17:D17"/>
    <mergeCell ref="E17:F17"/>
    <mergeCell ref="C19:D19"/>
    <mergeCell ref="E19:F19"/>
    <mergeCell ref="C20:D20"/>
    <mergeCell ref="E20:F20"/>
    <mergeCell ref="C18:D18"/>
    <mergeCell ref="E18:F18"/>
    <mergeCell ref="M12:O12"/>
    <mergeCell ref="C21:D21"/>
    <mergeCell ref="E21:F21"/>
    <mergeCell ref="C22:D22"/>
    <mergeCell ref="E22:F22"/>
    <mergeCell ref="C15:D15"/>
    <mergeCell ref="C16:D16"/>
    <mergeCell ref="E16:F16"/>
  </mergeCells>
  <conditionalFormatting sqref="D12">
    <cfRule type="expression" dxfId="19" priority="25">
      <formula>#REF!&lt;#REF!</formula>
    </cfRule>
  </conditionalFormatting>
  <conditionalFormatting sqref="I16">
    <cfRule type="expression" dxfId="18" priority="23">
      <formula>I16&lt;J16</formula>
    </cfRule>
  </conditionalFormatting>
  <conditionalFormatting sqref="I17">
    <cfRule type="expression" dxfId="17" priority="22">
      <formula>I17&lt;J17</formula>
    </cfRule>
  </conditionalFormatting>
  <conditionalFormatting sqref="I23">
    <cfRule type="expression" dxfId="16" priority="19">
      <formula>I23&gt;J23</formula>
    </cfRule>
  </conditionalFormatting>
  <conditionalFormatting sqref="I24">
    <cfRule type="expression" dxfId="15" priority="18">
      <formula>I24&gt;J24</formula>
    </cfRule>
  </conditionalFormatting>
  <conditionalFormatting sqref="I18">
    <cfRule type="expression" dxfId="14" priority="16">
      <formula>I18&lt;J18</formula>
    </cfRule>
  </conditionalFormatting>
  <conditionalFormatting sqref="M12">
    <cfRule type="expression" dxfId="13" priority="11">
      <formula>#REF!&lt;#REF!</formula>
    </cfRule>
  </conditionalFormatting>
  <conditionalFormatting sqref="L12">
    <cfRule type="expression" dxfId="12" priority="9">
      <formula>#REF!&lt;#REF!</formula>
    </cfRule>
  </conditionalFormatting>
  <conditionalFormatting sqref="G16:G24">
    <cfRule type="expression" dxfId="11" priority="7">
      <formula>#REF!&lt;#REF!</formula>
    </cfRule>
  </conditionalFormatting>
  <conditionalFormatting sqref="B25:B26">
    <cfRule type="expression" dxfId="10" priority="5">
      <formula>#REF!&lt;#REF!</formula>
    </cfRule>
  </conditionalFormatting>
  <conditionalFormatting sqref="I15">
    <cfRule type="expression" dxfId="9" priority="2">
      <formula>#REF!&lt;#REF!</formula>
    </cfRule>
  </conditionalFormatting>
  <hyperlinks>
    <hyperlink ref="B27" r:id="rId1" display="© Copyright: Möller Agrarmarketing e.K."/>
  </hyperlinks>
  <printOptions horizontalCentered="1"/>
  <pageMargins left="0.70866141732283472" right="0.70866141732283472" top="0.78740157480314965" bottom="0.78740157480314965" header="0.31496062992125984" footer="0.31496062992125984"/>
  <pageSetup paperSize="9" scale="8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3553" r:id="rId5" name="Drop Down 1">
              <controlPr defaultSize="0" autoLine="0" autoPict="0">
                <anchor moveWithCells="1" sizeWithCells="1">
                  <from>
                    <xdr:col>2</xdr:col>
                    <xdr:colOff>19050</xdr:colOff>
                    <xdr:row>3</xdr:row>
                    <xdr:rowOff>19050</xdr:rowOff>
                  </from>
                  <to>
                    <xdr:col>3</xdr:col>
                    <xdr:colOff>295275</xdr:colOff>
                    <xdr:row>3</xdr:row>
                    <xdr:rowOff>371475</xdr:rowOff>
                  </to>
                </anchor>
              </controlPr>
            </control>
          </mc:Choice>
        </mc:AlternateContent>
        <mc:AlternateContent xmlns:mc="http://schemas.openxmlformats.org/markup-compatibility/2006">
          <mc:Choice Requires="x14">
            <control shapeId="23554" r:id="rId6" name="Spinner 2">
              <controlPr defaultSize="0" autoPict="0">
                <anchor moveWithCells="1" sizeWithCells="1">
                  <from>
                    <xdr:col>3</xdr:col>
                    <xdr:colOff>9525</xdr:colOff>
                    <xdr:row>9</xdr:row>
                    <xdr:rowOff>9525</xdr:rowOff>
                  </from>
                  <to>
                    <xdr:col>3</xdr:col>
                    <xdr:colOff>304800</xdr:colOff>
                    <xdr:row>10</xdr:row>
                    <xdr:rowOff>180975</xdr:rowOff>
                  </to>
                </anchor>
              </controlPr>
            </control>
          </mc:Choice>
        </mc:AlternateContent>
        <mc:AlternateContent xmlns:mc="http://schemas.openxmlformats.org/markup-compatibility/2006">
          <mc:Choice Requires="x14">
            <control shapeId="23555" r:id="rId7" name="Drop Down 3">
              <controlPr defaultSize="0" autoLine="0" autoPict="0">
                <anchor moveWithCells="1" sizeWithCells="1">
                  <from>
                    <xdr:col>2</xdr:col>
                    <xdr:colOff>19050</xdr:colOff>
                    <xdr:row>4</xdr:row>
                    <xdr:rowOff>9525</xdr:rowOff>
                  </from>
                  <to>
                    <xdr:col>3</xdr:col>
                    <xdr:colOff>295275</xdr:colOff>
                    <xdr:row>4</xdr:row>
                    <xdr:rowOff>361950</xdr:rowOff>
                  </to>
                </anchor>
              </controlPr>
            </control>
          </mc:Choice>
        </mc:AlternateContent>
        <mc:AlternateContent xmlns:mc="http://schemas.openxmlformats.org/markup-compatibility/2006">
          <mc:Choice Requires="x14">
            <control shapeId="23556" r:id="rId8" name="Spinner 4">
              <controlPr defaultSize="0" autoPict="0">
                <anchor moveWithCells="1" sizeWithCells="1">
                  <from>
                    <xdr:col>5</xdr:col>
                    <xdr:colOff>9525</xdr:colOff>
                    <xdr:row>14</xdr:row>
                    <xdr:rowOff>9525</xdr:rowOff>
                  </from>
                  <to>
                    <xdr:col>5</xdr:col>
                    <xdr:colOff>304800</xdr:colOff>
                    <xdr:row>14</xdr:row>
                    <xdr:rowOff>371475</xdr:rowOff>
                  </to>
                </anchor>
              </controlPr>
            </control>
          </mc:Choice>
        </mc:AlternateContent>
        <mc:AlternateContent xmlns:mc="http://schemas.openxmlformats.org/markup-compatibility/2006">
          <mc:Choice Requires="x14">
            <control shapeId="23557" r:id="rId9" name="Spinner 5">
              <controlPr defaultSize="0" autoPict="0">
                <anchor moveWithCells="1" sizeWithCells="1">
                  <from>
                    <xdr:col>3</xdr:col>
                    <xdr:colOff>9525</xdr:colOff>
                    <xdr:row>12</xdr:row>
                    <xdr:rowOff>9525</xdr:rowOff>
                  </from>
                  <to>
                    <xdr:col>3</xdr:col>
                    <xdr:colOff>304800</xdr:colOff>
                    <xdr:row>12</xdr:row>
                    <xdr:rowOff>371475</xdr:rowOff>
                  </to>
                </anchor>
              </controlPr>
            </control>
          </mc:Choice>
        </mc:AlternateContent>
        <mc:AlternateContent xmlns:mc="http://schemas.openxmlformats.org/markup-compatibility/2006">
          <mc:Choice Requires="x14">
            <control shapeId="23558" r:id="rId10" name="Spinner 6">
              <controlPr defaultSize="0" autoPict="0">
                <anchor moveWithCells="1" sizeWithCells="1">
                  <from>
                    <xdr:col>3</xdr:col>
                    <xdr:colOff>9525</xdr:colOff>
                    <xdr:row>5</xdr:row>
                    <xdr:rowOff>9525</xdr:rowOff>
                  </from>
                  <to>
                    <xdr:col>3</xdr:col>
                    <xdr:colOff>304800</xdr:colOff>
                    <xdr:row>6</xdr:row>
                    <xdr:rowOff>180975</xdr:rowOff>
                  </to>
                </anchor>
              </controlPr>
            </control>
          </mc:Choice>
        </mc:AlternateContent>
        <mc:AlternateContent xmlns:mc="http://schemas.openxmlformats.org/markup-compatibility/2006">
          <mc:Choice Requires="x14">
            <control shapeId="23559" r:id="rId11" name="Spinner 7">
              <controlPr defaultSize="0" autoPict="0">
                <anchor moveWithCells="1" sizeWithCells="1">
                  <from>
                    <xdr:col>3</xdr:col>
                    <xdr:colOff>9525</xdr:colOff>
                    <xdr:row>7</xdr:row>
                    <xdr:rowOff>9525</xdr:rowOff>
                  </from>
                  <to>
                    <xdr:col>3</xdr:col>
                    <xdr:colOff>304800</xdr:colOff>
                    <xdr:row>8</xdr:row>
                    <xdr:rowOff>180975</xdr:rowOff>
                  </to>
                </anchor>
              </controlPr>
            </control>
          </mc:Choice>
        </mc:AlternateContent>
        <mc:AlternateContent xmlns:mc="http://schemas.openxmlformats.org/markup-compatibility/2006">
          <mc:Choice Requires="x14">
            <control shapeId="23560" r:id="rId12" name="Spinner 8">
              <controlPr defaultSize="0" autoPict="0">
                <anchor moveWithCells="1" sizeWithCells="1">
                  <from>
                    <xdr:col>3</xdr:col>
                    <xdr:colOff>9525</xdr:colOff>
                    <xdr:row>11</xdr:row>
                    <xdr:rowOff>9525</xdr:rowOff>
                  </from>
                  <to>
                    <xdr:col>3</xdr:col>
                    <xdr:colOff>304800</xdr:colOff>
                    <xdr:row>11</xdr:row>
                    <xdr:rowOff>371475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776A25F-2F02-408F-9A95-6C29472321B9}">
            <xm:f>Übersicht!$B$45&lt;Übersicht!$B$47</xm:f>
            <x14:dxf>
              <font>
                <color theme="1"/>
              </font>
              <fill>
                <patternFill>
                  <bgColor theme="1"/>
                </patternFill>
              </fill>
            </x14:dxf>
          </x14:cfRule>
          <xm:sqref>E4:I5 B15:D24 E15:H15 B6:I14 H16:I24</xm:sqref>
        </x14:conditionalFormatting>
        <x14:conditionalFormatting xmlns:xm="http://schemas.microsoft.com/office/excel/2006/main">
          <x14:cfRule type="expression" priority="53" id="{5923D083-A140-4AC0-A530-8EF8A87171F6}">
            <xm:f>Übersicht!$B$45&lt;Übersicht!$B$47</xm:f>
            <x14:dxf>
              <font>
                <color theme="1"/>
              </font>
              <fill>
                <patternFill>
                  <bgColor theme="1"/>
                </patternFill>
              </fill>
            </x14:dxf>
          </x14:cfRule>
          <xm:sqref>B4:C5</xm:sqref>
        </x14:conditionalFormatting>
        <x14:conditionalFormatting xmlns:xm="http://schemas.microsoft.com/office/excel/2006/main">
          <x14:cfRule type="expression" priority="12" id="{4F7D9FB5-80B7-470D-9BB2-697D62453065}">
            <xm:f>Übersicht!$B$45&lt;Übersicht!$B$47</xm:f>
            <x14:dxf>
              <font>
                <color theme="1"/>
              </font>
              <fill>
                <patternFill>
                  <bgColor theme="1"/>
                </patternFill>
              </fill>
            </x14:dxf>
          </x14:cfRule>
          <xm:sqref>E16:F24</xm:sqref>
        </x14:conditionalFormatting>
        <x14:conditionalFormatting xmlns:xm="http://schemas.microsoft.com/office/excel/2006/main">
          <x14:cfRule type="expression" priority="10" id="{F699DE8D-62ED-4034-B720-BB0772D295E1}">
            <xm:f>Übersicht!$B$45&lt;Übersicht!$B$47</xm:f>
            <x14:dxf>
              <font>
                <color theme="1"/>
              </font>
              <fill>
                <patternFill>
                  <bgColor theme="1"/>
                </patternFill>
              </fill>
            </x14:dxf>
          </x14:cfRule>
          <xm:sqref>M12</xm:sqref>
        </x14:conditionalFormatting>
        <x14:conditionalFormatting xmlns:xm="http://schemas.microsoft.com/office/excel/2006/main">
          <x14:cfRule type="expression" priority="8" id="{5BBFE5F4-8E56-427F-8185-293D7EE191C3}">
            <xm:f>Übersicht!$B$45&lt;Übersicht!$B$47</xm:f>
            <x14:dxf>
              <font>
                <color theme="1"/>
              </font>
              <fill>
                <patternFill>
                  <bgColor theme="1"/>
                </patternFill>
              </fill>
            </x14:dxf>
          </x14:cfRule>
          <xm:sqref>L12</xm:sqref>
        </x14:conditionalFormatting>
        <x14:conditionalFormatting xmlns:xm="http://schemas.microsoft.com/office/excel/2006/main">
          <x14:cfRule type="expression" priority="6" id="{26591F64-6DA0-4662-ADA8-1835CA7B9F9A}">
            <xm:f>Übersicht!$B$45&lt;Übersicht!$B$47</xm:f>
            <x14:dxf>
              <font>
                <color theme="1"/>
              </font>
              <fill>
                <patternFill>
                  <bgColor theme="1"/>
                </patternFill>
              </fill>
            </x14:dxf>
          </x14:cfRule>
          <xm:sqref>G16:G24</xm:sqref>
        </x14:conditionalFormatting>
        <x14:conditionalFormatting xmlns:xm="http://schemas.microsoft.com/office/excel/2006/main">
          <x14:cfRule type="expression" priority="4" id="{0AE66865-8873-463C-94BB-1BA170F4E51C}">
            <xm:f>Übersicht!$B$45&lt;Übersicht!$B$47</xm:f>
            <x14:dxf>
              <font>
                <color theme="1"/>
              </font>
              <fill>
                <patternFill>
                  <bgColor theme="1"/>
                </patternFill>
              </fill>
            </x14:dxf>
          </x14:cfRule>
          <xm:sqref>B25:B26</xm:sqref>
        </x14:conditionalFormatting>
        <x14:conditionalFormatting xmlns:xm="http://schemas.microsoft.com/office/excel/2006/main">
          <x14:cfRule type="expression" priority="3" id="{104C0838-82C8-44C2-9103-8B7CA1860ABA}">
            <xm:f>Übersicht!$B$45&lt;Übersicht!$B$47</xm:f>
            <x14:dxf>
              <font>
                <color theme="1"/>
              </font>
              <fill>
                <patternFill>
                  <bgColor theme="1"/>
                </patternFill>
              </fill>
            </x14:dxf>
          </x14:cfRule>
          <xm:sqref>F25:F26</xm:sqref>
        </x14:conditionalFormatting>
        <x14:conditionalFormatting xmlns:xm="http://schemas.microsoft.com/office/excel/2006/main">
          <x14:cfRule type="expression" priority="1" id="{BD344658-421E-4D43-9269-1997C7437A5F}">
            <xm:f>Übersicht!$B$45&lt;Übersicht!$B$47</xm:f>
            <x14:dxf>
              <font>
                <color theme="1"/>
              </font>
              <fill>
                <patternFill>
                  <bgColor theme="1"/>
                </patternFill>
              </fill>
            </x14:dxf>
          </x14:cfRule>
          <xm:sqref>I15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2"/>
  <sheetViews>
    <sheetView showGridLines="0" zoomScale="75" zoomScaleNormal="75" workbookViewId="0">
      <pane xSplit="4" ySplit="5" topLeftCell="E6" activePane="bottomRight" state="frozen"/>
      <selection pane="topRight" activeCell="D1" sqref="D1"/>
      <selection pane="bottomLeft" activeCell="A4" sqref="A4"/>
      <selection pane="bottomRight" activeCell="J16" sqref="J16:J18"/>
    </sheetView>
  </sheetViews>
  <sheetFormatPr baseColWidth="10" defaultRowHeight="21" x14ac:dyDescent="0.25"/>
  <cols>
    <col min="1" max="1" width="5.7109375" style="2" customWidth="1"/>
    <col min="2" max="2" width="33.85546875" style="2" customWidth="1"/>
    <col min="3" max="3" width="9.42578125" style="2" customWidth="1"/>
    <col min="4" max="4" width="20.42578125" style="2" customWidth="1"/>
    <col min="5" max="5" width="16.7109375" style="112" customWidth="1"/>
    <col min="6" max="14" width="13.7109375" style="116" customWidth="1"/>
    <col min="15" max="15" width="14.85546875" style="116" customWidth="1"/>
    <col min="16" max="23" width="14.7109375" style="116" customWidth="1"/>
    <col min="24" max="32" width="13.7109375" style="116" customWidth="1"/>
    <col min="33" max="33" width="48.42578125" style="2" customWidth="1"/>
    <col min="34" max="35" width="16.7109375" style="62" customWidth="1"/>
    <col min="36" max="37" width="13.7109375" style="2" customWidth="1"/>
    <col min="38" max="38" width="11.5703125" style="2" customWidth="1"/>
    <col min="39" max="39" width="11.42578125" style="2" customWidth="1"/>
    <col min="40" max="41" width="17.42578125" style="2" customWidth="1"/>
    <col min="42" max="43" width="11.42578125" style="2" customWidth="1"/>
    <col min="44" max="44" width="11.7109375" style="2" bestFit="1" customWidth="1"/>
    <col min="45" max="16384" width="11.42578125" style="2"/>
  </cols>
  <sheetData>
    <row r="1" spans="1:43" s="1" customFormat="1" ht="30" customHeight="1" thickBot="1" x14ac:dyDescent="0.3">
      <c r="B1" s="12" t="s">
        <v>10</v>
      </c>
      <c r="C1" s="5" t="s">
        <v>11</v>
      </c>
      <c r="D1" s="5" t="s">
        <v>12</v>
      </c>
      <c r="E1" s="113" t="s">
        <v>3</v>
      </c>
      <c r="F1" s="117" t="s">
        <v>3</v>
      </c>
      <c r="G1" s="117" t="s">
        <v>3</v>
      </c>
      <c r="H1" s="117" t="s">
        <v>3</v>
      </c>
      <c r="I1" s="117" t="s">
        <v>3</v>
      </c>
      <c r="J1" s="117" t="s">
        <v>3</v>
      </c>
      <c r="K1" s="117" t="s">
        <v>3</v>
      </c>
      <c r="L1" s="117" t="s">
        <v>3</v>
      </c>
      <c r="M1" s="117" t="s">
        <v>3</v>
      </c>
      <c r="N1" s="117" t="s">
        <v>3</v>
      </c>
      <c r="O1" s="297" t="s">
        <v>3</v>
      </c>
      <c r="P1" s="297" t="s">
        <v>3</v>
      </c>
      <c r="Q1" s="297" t="s">
        <v>3</v>
      </c>
      <c r="R1" s="297" t="s">
        <v>3</v>
      </c>
      <c r="S1" s="297" t="s">
        <v>3</v>
      </c>
      <c r="T1" s="297" t="s">
        <v>3</v>
      </c>
      <c r="U1" s="297" t="s">
        <v>3</v>
      </c>
      <c r="V1" s="297" t="s">
        <v>3</v>
      </c>
      <c r="W1" s="297" t="s">
        <v>3</v>
      </c>
      <c r="X1" s="117" t="s">
        <v>3</v>
      </c>
      <c r="Y1" s="117" t="s">
        <v>3</v>
      </c>
      <c r="Z1" s="117" t="s">
        <v>3</v>
      </c>
      <c r="AA1" s="117" t="s">
        <v>3</v>
      </c>
      <c r="AB1" s="117" t="s">
        <v>3</v>
      </c>
      <c r="AC1" s="117" t="s">
        <v>3</v>
      </c>
      <c r="AD1" s="117" t="s">
        <v>3</v>
      </c>
      <c r="AE1" s="117" t="s">
        <v>3</v>
      </c>
      <c r="AF1" s="117" t="s">
        <v>3</v>
      </c>
      <c r="AG1" s="1" t="s">
        <v>141</v>
      </c>
      <c r="AH1" s="64" t="s">
        <v>51</v>
      </c>
      <c r="AI1" s="64" t="s">
        <v>4</v>
      </c>
      <c r="AJ1" s="106" t="s">
        <v>51</v>
      </c>
      <c r="AK1" s="5" t="s">
        <v>4</v>
      </c>
      <c r="AM1" s="64" t="s">
        <v>58</v>
      </c>
      <c r="AN1" s="65" t="s">
        <v>58</v>
      </c>
      <c r="AO1" s="63" t="s">
        <v>57</v>
      </c>
      <c r="AP1" s="2"/>
      <c r="AQ1" s="2" t="s">
        <v>51</v>
      </c>
    </row>
    <row r="2" spans="1:43" s="1" customFormat="1" ht="31.5" x14ac:dyDescent="0.25">
      <c r="B2" s="14" t="s">
        <v>0</v>
      </c>
      <c r="C2" s="23"/>
      <c r="D2" s="23"/>
      <c r="E2" s="176" t="s">
        <v>1</v>
      </c>
      <c r="F2" s="24" t="s">
        <v>1</v>
      </c>
      <c r="G2" s="24" t="s">
        <v>1</v>
      </c>
      <c r="H2" s="24" t="s">
        <v>1</v>
      </c>
      <c r="I2" s="24" t="s">
        <v>1</v>
      </c>
      <c r="J2" s="24" t="s">
        <v>1</v>
      </c>
      <c r="K2" s="24" t="s">
        <v>1</v>
      </c>
      <c r="L2" s="24" t="s">
        <v>1</v>
      </c>
      <c r="M2" s="24" t="s">
        <v>1</v>
      </c>
      <c r="N2" s="24" t="s">
        <v>1</v>
      </c>
      <c r="O2" s="298" t="s">
        <v>1</v>
      </c>
      <c r="P2" s="298" t="s">
        <v>1</v>
      </c>
      <c r="Q2" s="298" t="s">
        <v>1</v>
      </c>
      <c r="R2" s="298" t="s">
        <v>1</v>
      </c>
      <c r="S2" s="298" t="s">
        <v>1</v>
      </c>
      <c r="T2" s="298" t="s">
        <v>1</v>
      </c>
      <c r="U2" s="298" t="s">
        <v>1</v>
      </c>
      <c r="V2" s="298" t="s">
        <v>1</v>
      </c>
      <c r="W2" s="298" t="s">
        <v>1</v>
      </c>
      <c r="X2" s="24" t="s">
        <v>1</v>
      </c>
      <c r="Y2" s="24" t="s">
        <v>1</v>
      </c>
      <c r="Z2" s="24" t="s">
        <v>1</v>
      </c>
      <c r="AA2" s="24" t="s">
        <v>1</v>
      </c>
      <c r="AB2" s="24" t="s">
        <v>1</v>
      </c>
      <c r="AC2" s="24" t="s">
        <v>1</v>
      </c>
      <c r="AD2" s="24" t="s">
        <v>1</v>
      </c>
      <c r="AE2" s="24" t="s">
        <v>1</v>
      </c>
      <c r="AF2" s="24" t="s">
        <v>1</v>
      </c>
      <c r="AH2" s="158" t="s">
        <v>80</v>
      </c>
      <c r="AI2" s="159" t="s">
        <v>2</v>
      </c>
      <c r="AJ2" s="24" t="s">
        <v>80</v>
      </c>
      <c r="AK2" s="23" t="s">
        <v>2</v>
      </c>
      <c r="AM2" s="64" t="s">
        <v>60</v>
      </c>
      <c r="AN2" s="65" t="s">
        <v>60</v>
      </c>
      <c r="AO2" s="63" t="s">
        <v>59</v>
      </c>
      <c r="AP2" s="66" t="s">
        <v>67</v>
      </c>
      <c r="AQ2" s="67">
        <v>0.1</v>
      </c>
    </row>
    <row r="3" spans="1:43" s="1" customFormat="1" ht="15.75" x14ac:dyDescent="0.25">
      <c r="B3" s="26"/>
      <c r="C3" s="52"/>
      <c r="D3" s="52"/>
      <c r="E3" s="177"/>
      <c r="F3" s="128" t="s">
        <v>24</v>
      </c>
      <c r="G3" s="128" t="s">
        <v>24</v>
      </c>
      <c r="H3" s="128" t="s">
        <v>24</v>
      </c>
      <c r="I3" s="128" t="s">
        <v>24</v>
      </c>
      <c r="J3" s="128" t="s">
        <v>24</v>
      </c>
      <c r="K3" s="128" t="s">
        <v>24</v>
      </c>
      <c r="L3" s="128" t="s">
        <v>24</v>
      </c>
      <c r="M3" s="128" t="s">
        <v>24</v>
      </c>
      <c r="N3" s="128" t="s">
        <v>24</v>
      </c>
      <c r="O3" s="299" t="s">
        <v>131</v>
      </c>
      <c r="P3" s="299" t="s">
        <v>131</v>
      </c>
      <c r="Q3" s="299" t="s">
        <v>131</v>
      </c>
      <c r="R3" s="299" t="s">
        <v>131</v>
      </c>
      <c r="S3" s="299" t="s">
        <v>131</v>
      </c>
      <c r="T3" s="299" t="s">
        <v>131</v>
      </c>
      <c r="U3" s="299" t="s">
        <v>131</v>
      </c>
      <c r="V3" s="299" t="s">
        <v>131</v>
      </c>
      <c r="W3" s="299" t="s">
        <v>131</v>
      </c>
      <c r="X3" s="128" t="s">
        <v>26</v>
      </c>
      <c r="Y3" s="128" t="s">
        <v>26</v>
      </c>
      <c r="Z3" s="128" t="s">
        <v>26</v>
      </c>
      <c r="AA3" s="128" t="s">
        <v>26</v>
      </c>
      <c r="AB3" s="128" t="s">
        <v>26</v>
      </c>
      <c r="AC3" s="128" t="s">
        <v>26</v>
      </c>
      <c r="AD3" s="128" t="s">
        <v>26</v>
      </c>
      <c r="AE3" s="128" t="s">
        <v>26</v>
      </c>
      <c r="AF3" s="128" t="s">
        <v>26</v>
      </c>
      <c r="AH3" s="160"/>
      <c r="AI3" s="161"/>
      <c r="AJ3" s="128"/>
      <c r="AK3" s="51"/>
      <c r="AM3" s="64">
        <v>3</v>
      </c>
      <c r="AN3" s="64">
        <v>3</v>
      </c>
      <c r="AO3" s="63" t="s">
        <v>61</v>
      </c>
      <c r="AP3" s="66" t="s">
        <v>68</v>
      </c>
      <c r="AQ3" s="67">
        <v>0.35</v>
      </c>
    </row>
    <row r="4" spans="1:43" s="1" customFormat="1" ht="15.75" x14ac:dyDescent="0.25">
      <c r="B4" s="26" t="s">
        <v>93</v>
      </c>
      <c r="C4" s="52"/>
      <c r="D4" s="52"/>
      <c r="E4" s="177"/>
      <c r="F4" s="200">
        <v>20</v>
      </c>
      <c r="G4" s="200">
        <v>40</v>
      </c>
      <c r="H4" s="200">
        <v>60</v>
      </c>
      <c r="I4" s="200">
        <v>100</v>
      </c>
      <c r="J4" s="200">
        <v>150</v>
      </c>
      <c r="K4" s="200">
        <v>200</v>
      </c>
      <c r="L4" s="200">
        <v>250</v>
      </c>
      <c r="M4" s="200">
        <v>300</v>
      </c>
      <c r="N4" s="200">
        <v>350</v>
      </c>
      <c r="O4" s="299">
        <v>20</v>
      </c>
      <c r="P4" s="299">
        <v>40</v>
      </c>
      <c r="Q4" s="299">
        <v>60</v>
      </c>
      <c r="R4" s="299">
        <v>100</v>
      </c>
      <c r="S4" s="299">
        <v>150</v>
      </c>
      <c r="T4" s="299">
        <v>200</v>
      </c>
      <c r="U4" s="299">
        <v>250</v>
      </c>
      <c r="V4" s="299">
        <v>300</v>
      </c>
      <c r="W4" s="299">
        <v>350</v>
      </c>
      <c r="X4" s="200">
        <v>20</v>
      </c>
      <c r="Y4" s="200">
        <v>40</v>
      </c>
      <c r="Z4" s="200">
        <v>60</v>
      </c>
      <c r="AA4" s="200">
        <v>100</v>
      </c>
      <c r="AB4" s="200">
        <v>150</v>
      </c>
      <c r="AC4" s="200">
        <v>200</v>
      </c>
      <c r="AD4" s="200">
        <v>250</v>
      </c>
      <c r="AE4" s="200">
        <v>300</v>
      </c>
      <c r="AF4" s="200">
        <v>350</v>
      </c>
      <c r="AH4" s="160"/>
      <c r="AI4" s="161"/>
      <c r="AJ4" s="128"/>
      <c r="AK4" s="51"/>
      <c r="AM4" s="68">
        <v>30</v>
      </c>
      <c r="AN4" s="68">
        <v>30</v>
      </c>
      <c r="AO4" s="63" t="s">
        <v>64</v>
      </c>
      <c r="AP4" s="66" t="s">
        <v>54</v>
      </c>
      <c r="AQ4" s="66">
        <v>24</v>
      </c>
    </row>
    <row r="5" spans="1:43" s="1" customFormat="1" ht="24" thickBot="1" x14ac:dyDescent="0.3">
      <c r="B5" s="13" t="s">
        <v>13</v>
      </c>
      <c r="C5" s="11"/>
      <c r="D5" s="11"/>
      <c r="E5" s="178">
        <v>3.8780000000000001</v>
      </c>
      <c r="F5" s="201">
        <f>$E$5</f>
        <v>3.8780000000000001</v>
      </c>
      <c r="G5" s="201">
        <f t="shared" ref="G5:N5" si="0">$E$5</f>
        <v>3.8780000000000001</v>
      </c>
      <c r="H5" s="201">
        <f t="shared" si="0"/>
        <v>3.8780000000000001</v>
      </c>
      <c r="I5" s="201">
        <f t="shared" si="0"/>
        <v>3.8780000000000001</v>
      </c>
      <c r="J5" s="201">
        <f t="shared" si="0"/>
        <v>3.8780000000000001</v>
      </c>
      <c r="K5" s="201">
        <f t="shared" si="0"/>
        <v>3.8780000000000001</v>
      </c>
      <c r="L5" s="201">
        <f t="shared" si="0"/>
        <v>3.8780000000000001</v>
      </c>
      <c r="M5" s="201">
        <f t="shared" si="0"/>
        <v>3.8780000000000001</v>
      </c>
      <c r="N5" s="201">
        <f t="shared" si="0"/>
        <v>3.8780000000000001</v>
      </c>
      <c r="O5" s="201">
        <f t="shared" ref="O5:AF5" si="1">$E$5</f>
        <v>3.8780000000000001</v>
      </c>
      <c r="P5" s="201">
        <f t="shared" si="1"/>
        <v>3.8780000000000001</v>
      </c>
      <c r="Q5" s="201">
        <f t="shared" si="1"/>
        <v>3.8780000000000001</v>
      </c>
      <c r="R5" s="201">
        <f t="shared" si="1"/>
        <v>3.8780000000000001</v>
      </c>
      <c r="S5" s="201">
        <f t="shared" si="1"/>
        <v>3.8780000000000001</v>
      </c>
      <c r="T5" s="201">
        <f t="shared" si="1"/>
        <v>3.8780000000000001</v>
      </c>
      <c r="U5" s="201">
        <f t="shared" si="1"/>
        <v>3.8780000000000001</v>
      </c>
      <c r="V5" s="201">
        <f t="shared" si="1"/>
        <v>3.8780000000000001</v>
      </c>
      <c r="W5" s="201">
        <f t="shared" si="1"/>
        <v>3.8780000000000001</v>
      </c>
      <c r="X5" s="201">
        <f t="shared" si="1"/>
        <v>3.8780000000000001</v>
      </c>
      <c r="Y5" s="201">
        <f t="shared" si="1"/>
        <v>3.8780000000000001</v>
      </c>
      <c r="Z5" s="201">
        <f t="shared" si="1"/>
        <v>3.8780000000000001</v>
      </c>
      <c r="AA5" s="201">
        <f t="shared" si="1"/>
        <v>3.8780000000000001</v>
      </c>
      <c r="AB5" s="201">
        <f t="shared" si="1"/>
        <v>3.8780000000000001</v>
      </c>
      <c r="AC5" s="201">
        <f t="shared" si="1"/>
        <v>3.8780000000000001</v>
      </c>
      <c r="AD5" s="201">
        <f t="shared" si="1"/>
        <v>3.8780000000000001</v>
      </c>
      <c r="AE5" s="201">
        <f t="shared" si="1"/>
        <v>3.8780000000000001</v>
      </c>
      <c r="AF5" s="201">
        <f t="shared" si="1"/>
        <v>3.8780000000000001</v>
      </c>
      <c r="AG5" s="300" t="s">
        <v>142</v>
      </c>
      <c r="AH5" s="162">
        <v>-0.55700000000000005</v>
      </c>
      <c r="AI5" s="162">
        <v>2.274</v>
      </c>
      <c r="AJ5" s="70">
        <f>AH5</f>
        <v>-0.55700000000000005</v>
      </c>
      <c r="AK5" s="6">
        <f>AI5</f>
        <v>2.274</v>
      </c>
      <c r="AL5" s="25"/>
      <c r="AM5" s="68">
        <v>7</v>
      </c>
      <c r="AN5" s="69">
        <v>0.4</v>
      </c>
      <c r="AO5" s="63" t="s">
        <v>74</v>
      </c>
      <c r="AP5" s="2"/>
      <c r="AQ5" s="2"/>
    </row>
    <row r="6" spans="1:43" ht="15.75" x14ac:dyDescent="0.25">
      <c r="A6" s="124">
        <v>1</v>
      </c>
      <c r="B6" s="191" t="s">
        <v>14</v>
      </c>
      <c r="C6" s="191"/>
      <c r="D6" s="191" t="s">
        <v>75</v>
      </c>
      <c r="E6" s="188">
        <v>-2.72</v>
      </c>
      <c r="F6" s="480">
        <f>INDEX($E$6:$E$9,MATCH('1. Laktation'!$C$4,'F1'!$A$6:$A$9,0),1)</f>
        <v>-2.72</v>
      </c>
      <c r="G6" s="480">
        <f>INDEX($E$6:$E$9,MATCH('1. Laktation'!$C$4,'F1'!$A$6:$A$9,0),1)</f>
        <v>-2.72</v>
      </c>
      <c r="H6" s="480">
        <f>INDEX($E$6:$E$9,MATCH('1. Laktation'!$C$4,'F1'!$A$6:$A$9,0),1)</f>
        <v>-2.72</v>
      </c>
      <c r="I6" s="480">
        <f>INDEX($E$6:$E$9,MATCH('1. Laktation'!$C$4,'F1'!$A$6:$A$9,0),1)</f>
        <v>-2.72</v>
      </c>
      <c r="J6" s="480">
        <f>INDEX($E$6:$E$9,MATCH('1. Laktation'!$C$4,'F1'!$A$6:$A$9,0),1)</f>
        <v>-2.72</v>
      </c>
      <c r="K6" s="480">
        <f>INDEX($E$6:$E$9,MATCH('1. Laktation'!$C$4,'F1'!$A$6:$A$9,0),1)</f>
        <v>-2.72</v>
      </c>
      <c r="L6" s="480">
        <f>INDEX($E$6:$E$9,MATCH('1. Laktation'!$C$4,'F1'!$A$6:$A$9,0),1)</f>
        <v>-2.72</v>
      </c>
      <c r="M6" s="480">
        <f>INDEX($E$6:$E$9,MATCH('1. Laktation'!$C$4,'F1'!$A$6:$A$9,0),1)</f>
        <v>-2.72</v>
      </c>
      <c r="N6" s="480">
        <f>INDEX($E$6:$E$9,MATCH('1. Laktation'!$C$4,'F1'!$A$6:$A$9,0),1)</f>
        <v>-2.72</v>
      </c>
      <c r="O6" s="483">
        <f>INDEX($E$6:$E$9,MATCH('2.+3. Laktation'!$C$4,'F1'!$A$6:$A$9,0),1)</f>
        <v>-1.667</v>
      </c>
      <c r="P6" s="483">
        <f>INDEX($E$6:$E$9,MATCH('2.+3. Laktation'!$C$4,'F1'!$A$6:$A$9,0),1)</f>
        <v>-1.667</v>
      </c>
      <c r="Q6" s="483">
        <f>INDEX($E$6:$E$9,MATCH('2.+3. Laktation'!$C$4,'F1'!$A$6:$A$9,0),1)</f>
        <v>-1.667</v>
      </c>
      <c r="R6" s="483">
        <f>INDEX($E$6:$E$9,MATCH('2.+3. Laktation'!$C$4,'F1'!$A$6:$A$9,0),1)</f>
        <v>-1.667</v>
      </c>
      <c r="S6" s="483">
        <f>INDEX($E$6:$E$9,MATCH('2.+3. Laktation'!$C$4,'F1'!$A$6:$A$9,0),1)</f>
        <v>-1.667</v>
      </c>
      <c r="T6" s="483">
        <f>INDEX($E$6:$E$9,MATCH('2.+3. Laktation'!$C$4,'F1'!$A$6:$A$9,0),1)</f>
        <v>-1.667</v>
      </c>
      <c r="U6" s="483">
        <f>INDEX($E$6:$E$9,MATCH('2.+3. Laktation'!$C$4,'F1'!$A$6:$A$9,0),1)</f>
        <v>-1.667</v>
      </c>
      <c r="V6" s="483">
        <f>INDEX($E$6:$E$9,MATCH('2.+3. Laktation'!$C$4,'F1'!$A$6:$A$9,0),1)</f>
        <v>-1.667</v>
      </c>
      <c r="W6" s="483">
        <f>INDEX($E$6:$E$9,MATCH('2.+3. Laktation'!$C$4,'F1'!$A$6:$A$9,0),1)</f>
        <v>-1.667</v>
      </c>
      <c r="X6" s="486">
        <f>INDEX($E$6:$E$9,MATCH('ab 4. Laktation'!$C$4,'F1'!$A$6:$A$9,0),1)</f>
        <v>-2.72</v>
      </c>
      <c r="Y6" s="486">
        <f>INDEX($E$6:$E$9,MATCH('ab 4. Laktation'!$C$4,'F1'!$A$6:$A$9,0),1)</f>
        <v>-2.72</v>
      </c>
      <c r="Z6" s="486">
        <f>INDEX($E$6:$E$9,MATCH('ab 4. Laktation'!$C$4,'F1'!$A$6:$A$9,0),1)</f>
        <v>-2.72</v>
      </c>
      <c r="AA6" s="486">
        <f>INDEX($E$6:$E$9,MATCH('ab 4. Laktation'!$C$4,'F1'!$A$6:$A$9,0),1)</f>
        <v>-2.72</v>
      </c>
      <c r="AB6" s="486">
        <f>INDEX($E$6:$E$9,MATCH('ab 4. Laktation'!$C$4,'F1'!$A$6:$A$9,0),1)</f>
        <v>-2.72</v>
      </c>
      <c r="AC6" s="486">
        <f>INDEX($E$6:$E$9,MATCH('ab 4. Laktation'!$C$4,'F1'!$A$6:$A$9,0),1)</f>
        <v>-2.72</v>
      </c>
      <c r="AD6" s="486">
        <f>INDEX($E$6:$E$9,MATCH('ab 4. Laktation'!$C$4,'F1'!$A$6:$A$9,0),1)</f>
        <v>-2.72</v>
      </c>
      <c r="AE6" s="486">
        <f>INDEX($E$6:$E$9,MATCH('ab 4. Laktation'!$C$4,'F1'!$A$6:$A$9,0),1)</f>
        <v>-2.72</v>
      </c>
      <c r="AF6" s="486">
        <f>INDEX($E$6:$E$9,MATCH('ab 4. Laktation'!$C$4,'F1'!$A$6:$A$9,0),1)</f>
        <v>-2.72</v>
      </c>
      <c r="AG6" s="300"/>
      <c r="AH6" s="163">
        <v>-2.6040000000000001</v>
      </c>
      <c r="AI6" s="163">
        <v>-1.9990000000000001</v>
      </c>
      <c r="AJ6" s="56"/>
      <c r="AK6" s="28"/>
      <c r="AL6" s="44"/>
      <c r="AM6" s="68">
        <v>140</v>
      </c>
      <c r="AN6" s="68">
        <v>140</v>
      </c>
      <c r="AO6" s="63" t="s">
        <v>62</v>
      </c>
      <c r="AP6" s="66" t="s">
        <v>70</v>
      </c>
      <c r="AQ6" s="67">
        <v>0</v>
      </c>
    </row>
    <row r="7" spans="1:43" ht="15.75" x14ac:dyDescent="0.25">
      <c r="A7" s="124">
        <v>2</v>
      </c>
      <c r="B7" s="192" t="s">
        <v>14</v>
      </c>
      <c r="C7" s="192"/>
      <c r="D7" s="192" t="s">
        <v>76</v>
      </c>
      <c r="E7" s="189">
        <v>-1.667</v>
      </c>
      <c r="F7" s="481"/>
      <c r="G7" s="481"/>
      <c r="H7" s="481"/>
      <c r="I7" s="481"/>
      <c r="J7" s="481"/>
      <c r="K7" s="481"/>
      <c r="L7" s="481"/>
      <c r="M7" s="481"/>
      <c r="N7" s="481"/>
      <c r="O7" s="484"/>
      <c r="P7" s="484"/>
      <c r="Q7" s="484"/>
      <c r="R7" s="484"/>
      <c r="S7" s="484"/>
      <c r="T7" s="484"/>
      <c r="U7" s="484"/>
      <c r="V7" s="484"/>
      <c r="W7" s="484"/>
      <c r="X7" s="487"/>
      <c r="Y7" s="487"/>
      <c r="Z7" s="487"/>
      <c r="AA7" s="487"/>
      <c r="AB7" s="487"/>
      <c r="AC7" s="487"/>
      <c r="AD7" s="487"/>
      <c r="AE7" s="487"/>
      <c r="AF7" s="487"/>
      <c r="AG7" s="300"/>
      <c r="AH7" s="68">
        <v>-1.573</v>
      </c>
      <c r="AI7" s="68">
        <v>-0.89800000000000002</v>
      </c>
      <c r="AJ7" s="72">
        <f>AH7</f>
        <v>-1.573</v>
      </c>
      <c r="AK7" s="28"/>
      <c r="AL7" s="44"/>
      <c r="AM7" s="68">
        <v>635</v>
      </c>
      <c r="AN7" s="68">
        <v>635</v>
      </c>
      <c r="AO7" s="63" t="s">
        <v>63</v>
      </c>
      <c r="AP7" s="66" t="s">
        <v>69</v>
      </c>
      <c r="AQ7" s="67">
        <v>0.55000000000000004</v>
      </c>
    </row>
    <row r="8" spans="1:43" ht="21" customHeight="1" x14ac:dyDescent="0.25">
      <c r="A8" s="124">
        <v>3</v>
      </c>
      <c r="B8" s="192" t="s">
        <v>14</v>
      </c>
      <c r="C8" s="192"/>
      <c r="D8" s="192" t="s">
        <v>16</v>
      </c>
      <c r="E8" s="189">
        <v>-2.6309999999999998</v>
      </c>
      <c r="F8" s="481"/>
      <c r="G8" s="481"/>
      <c r="H8" s="481"/>
      <c r="I8" s="481"/>
      <c r="J8" s="481"/>
      <c r="K8" s="481"/>
      <c r="L8" s="481"/>
      <c r="M8" s="481"/>
      <c r="N8" s="481"/>
      <c r="O8" s="484"/>
      <c r="P8" s="484"/>
      <c r="Q8" s="484"/>
      <c r="R8" s="484"/>
      <c r="S8" s="484"/>
      <c r="T8" s="484"/>
      <c r="U8" s="484"/>
      <c r="V8" s="484"/>
      <c r="W8" s="484"/>
      <c r="X8" s="487"/>
      <c r="Y8" s="487"/>
      <c r="Z8" s="487"/>
      <c r="AA8" s="487"/>
      <c r="AB8" s="487"/>
      <c r="AC8" s="487"/>
      <c r="AD8" s="487"/>
      <c r="AE8" s="487"/>
      <c r="AF8" s="487"/>
      <c r="AG8" s="313" t="s">
        <v>143</v>
      </c>
      <c r="AH8" s="164">
        <v>-2.57</v>
      </c>
      <c r="AI8" s="68">
        <v>-2.169</v>
      </c>
      <c r="AJ8" s="71"/>
      <c r="AK8" s="28">
        <f>AI8</f>
        <v>-2.169</v>
      </c>
      <c r="AL8" s="44"/>
      <c r="AM8" s="68">
        <v>7.6</v>
      </c>
      <c r="AN8" s="68">
        <v>7.6</v>
      </c>
      <c r="AO8" s="63" t="s">
        <v>65</v>
      </c>
    </row>
    <row r="9" spans="1:43" ht="21.75" customHeight="1" thickBot="1" x14ac:dyDescent="0.3">
      <c r="A9" s="124">
        <v>4</v>
      </c>
      <c r="B9" s="193" t="s">
        <v>14</v>
      </c>
      <c r="C9" s="193"/>
      <c r="D9" s="193" t="s">
        <v>15</v>
      </c>
      <c r="E9" s="190">
        <v>-1.8260000000000001</v>
      </c>
      <c r="F9" s="482"/>
      <c r="G9" s="482"/>
      <c r="H9" s="482"/>
      <c r="I9" s="482"/>
      <c r="J9" s="482"/>
      <c r="K9" s="482"/>
      <c r="L9" s="482"/>
      <c r="M9" s="482"/>
      <c r="N9" s="482"/>
      <c r="O9" s="485"/>
      <c r="P9" s="485"/>
      <c r="Q9" s="485"/>
      <c r="R9" s="485"/>
      <c r="S9" s="485"/>
      <c r="T9" s="485"/>
      <c r="U9" s="485"/>
      <c r="V9" s="485"/>
      <c r="W9" s="485"/>
      <c r="X9" s="488"/>
      <c r="Y9" s="488"/>
      <c r="Z9" s="488"/>
      <c r="AA9" s="488"/>
      <c r="AB9" s="488"/>
      <c r="AC9" s="488"/>
      <c r="AD9" s="488"/>
      <c r="AE9" s="488"/>
      <c r="AF9" s="488"/>
      <c r="AG9" s="300"/>
      <c r="AH9" s="162">
        <v>-2.0059999999999998</v>
      </c>
      <c r="AI9" s="162">
        <v>-1.391</v>
      </c>
      <c r="AJ9" s="56"/>
      <c r="AK9" s="28"/>
      <c r="AL9" s="44"/>
      <c r="AM9" s="68">
        <v>6.2</v>
      </c>
      <c r="AN9" s="68">
        <v>6.2</v>
      </c>
      <c r="AO9" s="63" t="s">
        <v>66</v>
      </c>
    </row>
    <row r="10" spans="1:43" x14ac:dyDescent="0.25">
      <c r="B10" s="125" t="s">
        <v>17</v>
      </c>
      <c r="C10" s="51" t="s">
        <v>18</v>
      </c>
      <c r="D10" s="51" t="s">
        <v>24</v>
      </c>
      <c r="E10" s="115">
        <v>-0.72799999999999998</v>
      </c>
      <c r="F10" s="202">
        <f>$E$10</f>
        <v>-0.72799999999999998</v>
      </c>
      <c r="G10" s="202">
        <f t="shared" ref="G10:N10" si="2">$E$10</f>
        <v>-0.72799999999999998</v>
      </c>
      <c r="H10" s="202">
        <f t="shared" si="2"/>
        <v>-0.72799999999999998</v>
      </c>
      <c r="I10" s="202">
        <f t="shared" si="2"/>
        <v>-0.72799999999999998</v>
      </c>
      <c r="J10" s="202">
        <f t="shared" si="2"/>
        <v>-0.72799999999999998</v>
      </c>
      <c r="K10" s="202">
        <f t="shared" si="2"/>
        <v>-0.72799999999999998</v>
      </c>
      <c r="L10" s="202">
        <f t="shared" si="2"/>
        <v>-0.72799999999999998</v>
      </c>
      <c r="M10" s="202">
        <f t="shared" si="2"/>
        <v>-0.72799999999999998</v>
      </c>
      <c r="N10" s="202">
        <f t="shared" si="2"/>
        <v>-0.72799999999999998</v>
      </c>
      <c r="O10" s="212"/>
      <c r="P10" s="212"/>
      <c r="Q10" s="212"/>
      <c r="R10" s="212"/>
      <c r="S10" s="212"/>
      <c r="T10" s="212"/>
      <c r="U10" s="212"/>
      <c r="V10" s="212"/>
      <c r="W10" s="212"/>
      <c r="X10" s="213"/>
      <c r="Y10" s="215"/>
      <c r="Z10" s="215"/>
      <c r="AA10" s="215"/>
      <c r="AB10" s="215"/>
      <c r="AC10" s="215"/>
      <c r="AD10" s="215"/>
      <c r="AE10" s="215"/>
      <c r="AF10" s="215"/>
      <c r="AG10" s="300"/>
      <c r="AH10" s="163">
        <v>-0.76700000000000002</v>
      </c>
      <c r="AI10" s="163">
        <v>-0.65800000000000003</v>
      </c>
      <c r="AJ10" s="71"/>
      <c r="AK10" s="107"/>
      <c r="AL10" s="44"/>
    </row>
    <row r="11" spans="1:43" x14ac:dyDescent="0.25">
      <c r="B11" s="12"/>
      <c r="C11" s="5"/>
      <c r="D11" s="53" t="s">
        <v>25</v>
      </c>
      <c r="E11" s="114">
        <v>0.218</v>
      </c>
      <c r="F11" s="203"/>
      <c r="G11" s="203"/>
      <c r="H11" s="203"/>
      <c r="I11" s="203"/>
      <c r="J11" s="203"/>
      <c r="K11" s="203"/>
      <c r="L11" s="203"/>
      <c r="M11" s="203"/>
      <c r="N11" s="203"/>
      <c r="O11" s="214">
        <v>0.218</v>
      </c>
      <c r="P11" s="214">
        <v>0.218</v>
      </c>
      <c r="Q11" s="214">
        <v>0.218</v>
      </c>
      <c r="R11" s="214">
        <v>0.218</v>
      </c>
      <c r="S11" s="214">
        <v>0.218</v>
      </c>
      <c r="T11" s="214">
        <v>0.218</v>
      </c>
      <c r="U11" s="214">
        <v>0.218</v>
      </c>
      <c r="V11" s="214">
        <v>0.218</v>
      </c>
      <c r="W11" s="214">
        <v>0.218</v>
      </c>
      <c r="X11" s="215"/>
      <c r="Y11" s="215"/>
      <c r="Z11" s="215"/>
      <c r="AA11" s="215"/>
      <c r="AB11" s="215"/>
      <c r="AC11" s="215"/>
      <c r="AD11" s="215"/>
      <c r="AE11" s="215"/>
      <c r="AF11" s="215"/>
      <c r="AG11" s="313" t="s">
        <v>144</v>
      </c>
      <c r="AH11" s="68">
        <v>0.26100000000000001</v>
      </c>
      <c r="AI11" s="68">
        <v>0.23599999999999999</v>
      </c>
      <c r="AJ11" s="56">
        <f>AH11</f>
        <v>0.26100000000000001</v>
      </c>
      <c r="AK11" s="27">
        <f>AI11</f>
        <v>0.23599999999999999</v>
      </c>
      <c r="AL11" s="44"/>
    </row>
    <row r="12" spans="1:43" ht="21.75" thickBot="1" x14ac:dyDescent="0.3">
      <c r="B12" s="13"/>
      <c r="C12" s="54"/>
      <c r="D12" s="54" t="s">
        <v>26</v>
      </c>
      <c r="E12" s="178">
        <v>0</v>
      </c>
      <c r="F12" s="204"/>
      <c r="G12" s="204"/>
      <c r="H12" s="204"/>
      <c r="I12" s="204"/>
      <c r="J12" s="204"/>
      <c r="K12" s="204"/>
      <c r="L12" s="204"/>
      <c r="M12" s="204"/>
      <c r="N12" s="204"/>
      <c r="O12" s="211"/>
      <c r="P12" s="211"/>
      <c r="Q12" s="211"/>
      <c r="R12" s="211"/>
      <c r="S12" s="211"/>
      <c r="T12" s="211"/>
      <c r="U12" s="211"/>
      <c r="V12" s="211"/>
      <c r="W12" s="211"/>
      <c r="X12" s="211">
        <v>0</v>
      </c>
      <c r="Y12" s="211">
        <v>0</v>
      </c>
      <c r="Z12" s="211">
        <v>0</v>
      </c>
      <c r="AA12" s="211">
        <v>0</v>
      </c>
      <c r="AB12" s="211">
        <v>0</v>
      </c>
      <c r="AC12" s="211">
        <v>0</v>
      </c>
      <c r="AD12" s="211">
        <v>0</v>
      </c>
      <c r="AE12" s="211">
        <v>0</v>
      </c>
      <c r="AF12" s="211">
        <v>0</v>
      </c>
      <c r="AG12" s="300"/>
      <c r="AH12" s="162">
        <v>0</v>
      </c>
      <c r="AI12" s="162">
        <v>0</v>
      </c>
      <c r="AJ12" s="72"/>
      <c r="AK12" s="107"/>
      <c r="AL12" s="44"/>
    </row>
    <row r="13" spans="1:43" ht="15.75" x14ac:dyDescent="0.25">
      <c r="B13" s="194" t="s">
        <v>19</v>
      </c>
      <c r="C13" s="195" t="s">
        <v>20</v>
      </c>
      <c r="D13" s="8" t="s">
        <v>22</v>
      </c>
      <c r="E13" s="179">
        <v>-4.2869999999999999</v>
      </c>
      <c r="F13" s="489">
        <f>$E$13+$E$14*(1-EXP(-$E$15*F4))</f>
        <v>-3.2192446726955897</v>
      </c>
      <c r="G13" s="489">
        <f t="shared" ref="G13:N13" si="3">$E$13+$E$14*(1-EXP(-$E$15*G4))</f>
        <v>-2.4260141320482824</v>
      </c>
      <c r="H13" s="489">
        <f t="shared" si="3"/>
        <v>-1.8367267976510884</v>
      </c>
      <c r="I13" s="489">
        <f t="shared" si="3"/>
        <v>-1.0737240267839177</v>
      </c>
      <c r="J13" s="489">
        <f t="shared" si="3"/>
        <v>-0.58101235928154216</v>
      </c>
      <c r="K13" s="489">
        <f t="shared" si="3"/>
        <v>-0.34663694835419756</v>
      </c>
      <c r="L13" s="489">
        <f t="shared" si="3"/>
        <v>-0.23514814695069397</v>
      </c>
      <c r="M13" s="489">
        <f t="shared" si="3"/>
        <v>-0.18211462782336874</v>
      </c>
      <c r="N13" s="489">
        <f t="shared" si="3"/>
        <v>-0.15688739319870937</v>
      </c>
      <c r="O13" s="489">
        <f t="shared" ref="O13:AF13" si="4">$E$13+$E$14*(1-EXP(-$E$15*O4))</f>
        <v>-3.2192446726955897</v>
      </c>
      <c r="P13" s="489">
        <f t="shared" si="4"/>
        <v>-2.4260141320482824</v>
      </c>
      <c r="Q13" s="489">
        <f t="shared" si="4"/>
        <v>-1.8367267976510884</v>
      </c>
      <c r="R13" s="489">
        <f t="shared" si="4"/>
        <v>-1.0737240267839177</v>
      </c>
      <c r="S13" s="489">
        <f t="shared" si="4"/>
        <v>-0.58101235928154216</v>
      </c>
      <c r="T13" s="489">
        <f t="shared" si="4"/>
        <v>-0.34663694835419756</v>
      </c>
      <c r="U13" s="489">
        <f t="shared" si="4"/>
        <v>-0.23514814695069397</v>
      </c>
      <c r="V13" s="489">
        <f t="shared" si="4"/>
        <v>-0.18211462782336874</v>
      </c>
      <c r="W13" s="489">
        <f t="shared" si="4"/>
        <v>-0.15688739319870937</v>
      </c>
      <c r="X13" s="489">
        <f t="shared" si="4"/>
        <v>-3.2192446726955897</v>
      </c>
      <c r="Y13" s="489">
        <f t="shared" si="4"/>
        <v>-2.4260141320482824</v>
      </c>
      <c r="Z13" s="489">
        <f t="shared" si="4"/>
        <v>-1.8367267976510884</v>
      </c>
      <c r="AA13" s="489">
        <f t="shared" si="4"/>
        <v>-1.0737240267839177</v>
      </c>
      <c r="AB13" s="489">
        <f t="shared" si="4"/>
        <v>-0.58101235928154216</v>
      </c>
      <c r="AC13" s="489">
        <f t="shared" si="4"/>
        <v>-0.34663694835419756</v>
      </c>
      <c r="AD13" s="489">
        <f t="shared" si="4"/>
        <v>-0.23514814695069397</v>
      </c>
      <c r="AE13" s="489">
        <f t="shared" si="4"/>
        <v>-0.18211462782336874</v>
      </c>
      <c r="AF13" s="489">
        <f t="shared" si="4"/>
        <v>-0.15688739319870937</v>
      </c>
      <c r="AG13" s="300"/>
      <c r="AH13" s="165">
        <v>-4.2240000000000002</v>
      </c>
      <c r="AI13" s="165">
        <v>-5.4450000000000003</v>
      </c>
      <c r="AJ13" s="55">
        <f>AH13+AH14*(1-EXP(-AH15*AM6))</f>
        <v>-0.5816844239178387</v>
      </c>
      <c r="AK13" s="45">
        <f>AI13+AI14*(1-EXP(-AI15*AN6))</f>
        <v>-0.551189840505101</v>
      </c>
      <c r="AL13" s="44"/>
    </row>
    <row r="14" spans="1:43" ht="15.75" x14ac:dyDescent="0.25">
      <c r="B14" s="196" t="s">
        <v>50</v>
      </c>
      <c r="C14" s="197"/>
      <c r="D14" s="6" t="s">
        <v>23</v>
      </c>
      <c r="E14" s="114">
        <v>4.1529999999999996</v>
      </c>
      <c r="F14" s="490"/>
      <c r="G14" s="490"/>
      <c r="H14" s="490"/>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300" t="s">
        <v>145</v>
      </c>
      <c r="AH14" s="68">
        <v>4.0880000000000001</v>
      </c>
      <c r="AI14" s="68">
        <v>5.298</v>
      </c>
      <c r="AJ14" s="56"/>
      <c r="AK14" s="107"/>
      <c r="AL14" s="58"/>
    </row>
    <row r="15" spans="1:43" ht="16.5" thickBot="1" x14ac:dyDescent="0.3">
      <c r="B15" s="198"/>
      <c r="C15" s="199"/>
      <c r="D15" s="11" t="s">
        <v>21</v>
      </c>
      <c r="E15" s="178">
        <v>1.486E-2</v>
      </c>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300"/>
      <c r="AH15" s="162">
        <v>1.583E-2</v>
      </c>
      <c r="AI15" s="162">
        <v>1.8380000000000001E-2</v>
      </c>
      <c r="AJ15" s="56"/>
      <c r="AK15" s="107"/>
      <c r="AL15" s="44"/>
    </row>
    <row r="16" spans="1:43" ht="30" x14ac:dyDescent="0.25">
      <c r="B16" s="224" t="s">
        <v>27</v>
      </c>
      <c r="C16" s="195"/>
      <c r="D16" s="8" t="s">
        <v>22</v>
      </c>
      <c r="E16" s="179">
        <v>1.4800000000000001E-2</v>
      </c>
      <c r="F16" s="489">
        <f>($E$16+$E$17*F4+$E$18*F4*F4)*'1. Laktation'!$C$10</f>
        <v>8.1940144000000004</v>
      </c>
      <c r="G16" s="489">
        <f>($E$16+$E$17*G4+$E$18*G4*G4)*'1. Laktation'!$C$10</f>
        <v>7.6986976</v>
      </c>
      <c r="H16" s="489">
        <f>($E$16+$E$17*H4+$E$18*H4*H4)*'1. Laktation'!$C$10</f>
        <v>7.246049600000001</v>
      </c>
      <c r="I16" s="489">
        <f>($E$16+$E$17*I4+$E$18*I4*I4)*'1. Laktation'!$C$10</f>
        <v>6.4687599999999996</v>
      </c>
      <c r="J16" s="489">
        <f>($E$16+$E$17*J4+$E$18*J4*J4)*'1. Laktation'!$C$10</f>
        <v>5.7371600000000003</v>
      </c>
      <c r="K16" s="489">
        <f>($E$16+$E$17*K4+$E$18*K4*K4)*'1. Laktation'!$C$10</f>
        <v>5.27224</v>
      </c>
      <c r="L16" s="489">
        <f>($E$16+$E$17*L4+$E$18*L4*L4)*'1. Laktation'!$C$10</f>
        <v>5.0740000000000007</v>
      </c>
      <c r="M16" s="489">
        <f>($E$16+$E$17*M4+$E$18*M4*M4)*'1. Laktation'!$C$10</f>
        <v>5.1424400000000006</v>
      </c>
      <c r="N16" s="489">
        <f>($E$16+$E$17*N4+$E$18*N4*N4)*'1. Laktation'!$C$10</f>
        <v>5.4775600000000004</v>
      </c>
      <c r="O16" s="489">
        <f>($E$16+$E$17*O4+$E$18*O4*O4)*'2.+3. Laktation'!$C$10</f>
        <v>9.7217120000000001</v>
      </c>
      <c r="P16" s="489">
        <f>($E$16+$E$17*P4+$E$18*P4*P4)*'2.+3. Laktation'!$C$10</f>
        <v>9.1340479999999999</v>
      </c>
      <c r="Q16" s="489">
        <f>($E$16+$E$17*Q4+$E$18*Q4*Q4)*'2.+3. Laktation'!$C$10</f>
        <v>8.5970080000000006</v>
      </c>
      <c r="R16" s="489">
        <f>($E$16+$E$17*R4+$E$18*R4*R4)*'2.+3. Laktation'!$C$10</f>
        <v>7.6748000000000003</v>
      </c>
      <c r="S16" s="489">
        <f>($E$16+$E$17*S4+$E$18*S4*S4)*'2.+3. Laktation'!$C$10</f>
        <v>6.8068</v>
      </c>
      <c r="T16" s="489">
        <f>($E$16+$E$17*T4+$E$18*T4*T4)*'2.+3. Laktation'!$C$10</f>
        <v>6.2551999999999994</v>
      </c>
      <c r="U16" s="489">
        <f>($E$16+$E$17*U4+$E$18*U4*U4)*'2.+3. Laktation'!$C$10</f>
        <v>6.0200000000000014</v>
      </c>
      <c r="V16" s="489">
        <f>($E$16+$E$17*V4+$E$18*V4*V4)*'2.+3. Laktation'!$C$10</f>
        <v>6.1012000000000013</v>
      </c>
      <c r="W16" s="489">
        <f>($E$16+$E$17*W4+$E$18*W4*W4)*'2.+3. Laktation'!$C$10</f>
        <v>6.4988000000000001</v>
      </c>
      <c r="X16" s="489">
        <f>($E$16+$E$17*X4+$E$18*X4*X4)*'ab 4. Laktation'!$C$10</f>
        <v>9.0273040000000009</v>
      </c>
      <c r="Y16" s="489">
        <f>($E$16+$E$17*Y4+$E$18*Y4*Y4)*'ab 4. Laktation'!$C$10</f>
        <v>8.4816160000000007</v>
      </c>
      <c r="Z16" s="489">
        <f>($E$16+$E$17*Z4+$E$18*Z4*Z4)*'ab 4. Laktation'!$C$10</f>
        <v>7.9829360000000005</v>
      </c>
      <c r="AA16" s="489">
        <f>($E$16+$E$17*AA4+$E$18*AA4*AA4)*'ab 4. Laktation'!$C$10</f>
        <v>7.1265999999999998</v>
      </c>
      <c r="AB16" s="489">
        <f>($E$16+$E$17*AB4+$E$18*AB4*AB4)*'ab 4. Laktation'!$C$10</f>
        <v>6.3205999999999998</v>
      </c>
      <c r="AC16" s="489">
        <f>($E$16+$E$17*AC4+$E$18*AC4*AC4)*'ab 4. Laktation'!$C$10</f>
        <v>5.8083999999999998</v>
      </c>
      <c r="AD16" s="489">
        <f>($E$16+$E$17*AD4+$E$18*AD4*AD4)*'ab 4. Laktation'!$C$10</f>
        <v>5.5900000000000007</v>
      </c>
      <c r="AE16" s="489">
        <f>($E$16+$E$17*AE4+$E$18*AE4*AE4)*'ab 4. Laktation'!$C$10</f>
        <v>5.6654000000000009</v>
      </c>
      <c r="AF16" s="489">
        <f>($E$16+$E$17*AF4+$E$18*AF4*AF4)*'ab 4. Laktation'!$C$10</f>
        <v>6.0346000000000002</v>
      </c>
      <c r="AG16" s="300"/>
      <c r="AH16" s="165">
        <v>1.4200000000000001E-2</v>
      </c>
      <c r="AI16" s="165">
        <v>1.7299999999999999E-2</v>
      </c>
      <c r="AJ16" s="74">
        <f>(AH16+AH17*AM$6+AH18*AM$6*AM$6)*AM7</f>
        <v>6.1350398000000013</v>
      </c>
      <c r="AK16" s="73">
        <f>(AI16+AI17*AN$6+AI18*AN$6*AN$6)*AN7</f>
        <v>7.6593953999999984</v>
      </c>
      <c r="AL16" s="44"/>
    </row>
    <row r="17" spans="2:39" ht="18" x14ac:dyDescent="0.25">
      <c r="B17" s="216" t="s">
        <v>28</v>
      </c>
      <c r="C17" s="197"/>
      <c r="D17" s="6" t="s">
        <v>29</v>
      </c>
      <c r="E17" s="114">
        <v>-4.74E-5</v>
      </c>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313" t="s">
        <v>146</v>
      </c>
      <c r="AH17" s="68">
        <v>-4.3099999999999997E-5</v>
      </c>
      <c r="AI17" s="68">
        <v>-5.1400000000000003E-5</v>
      </c>
      <c r="AJ17" s="75"/>
      <c r="AK17" s="108"/>
      <c r="AL17" s="44"/>
    </row>
    <row r="18" spans="2:39" ht="18.75" thickBot="1" x14ac:dyDescent="0.3">
      <c r="B18" s="217"/>
      <c r="C18" s="218"/>
      <c r="D18" s="11" t="s">
        <v>30</v>
      </c>
      <c r="E18" s="180">
        <v>9.0400000000000002E-8</v>
      </c>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300"/>
      <c r="AH18" s="166">
        <v>7.6300000000000002E-8</v>
      </c>
      <c r="AI18" s="166">
        <v>9.9900000000000001E-8</v>
      </c>
      <c r="AJ18" s="76"/>
      <c r="AK18" s="109"/>
      <c r="AL18" s="46"/>
    </row>
    <row r="19" spans="2:39" ht="30" x14ac:dyDescent="0.25">
      <c r="B19" s="194" t="s">
        <v>52</v>
      </c>
      <c r="C19" s="197"/>
      <c r="D19" s="8" t="s">
        <v>22</v>
      </c>
      <c r="E19" s="179">
        <v>8.2500000000000004E-2</v>
      </c>
      <c r="F19" s="495">
        <f>($E$19+$E$20*F4+$E$21*F4*F4)*'1. Laktation'!$C16</f>
        <v>2.8018236000000005</v>
      </c>
      <c r="G19" s="495">
        <f>($E$19+$E$20*G4+$E$21*G4*G4)*'1. Laktation'!$C17</f>
        <v>3.4570652000000002</v>
      </c>
      <c r="H19" s="495">
        <f>($E$19+$E$20*H4+$E$21*H4*H4)*'1. Laktation'!$C18</f>
        <v>3.8283120000000004</v>
      </c>
      <c r="I19" s="495">
        <f>($E$19+$E$20*I4+$E$21*I4*I4)*'1. Laktation'!$C19</f>
        <v>4.3838699999999999</v>
      </c>
      <c r="J19" s="495">
        <f>($E$19+$E$20*J4+$E$21*J4*J4)*'1. Laktation'!$C20</f>
        <v>4.9203449999999993</v>
      </c>
      <c r="K19" s="495">
        <f>($E$19+$E$20*K4+$E$21*K4*K4)*'1. Laktation'!$C21</f>
        <v>5.1455000000000002</v>
      </c>
      <c r="L19" s="495">
        <f>($E$19+$E$20*L4+$E$21*L4*L4)*'1. Laktation'!$C22</f>
        <v>5.2775124999999994</v>
      </c>
      <c r="M19" s="495">
        <f>($E$19+$E$20*M4+$E$21*M4*M4)*'1. Laktation'!$C23</f>
        <v>4.8892499999999997</v>
      </c>
      <c r="N19" s="495">
        <f>($E$19+$E$20*N4+$E$21*N4*N4)*'1. Laktation'!$C24</f>
        <v>4.4567099999999993</v>
      </c>
      <c r="O19" s="495">
        <f>($E$19+$E$20*O4+$E$21*O4*O4)*'2.+3. Laktation'!$C16</f>
        <v>4.1290032000000005</v>
      </c>
      <c r="P19" s="495">
        <f>($E$19+$E$20*P4+$E$21*P4*P4)*'2.+3. Laktation'!$C17</f>
        <v>4.9872415999999999</v>
      </c>
      <c r="Q19" s="495">
        <f>($E$19+$E$20*Q4+$E$21*Q4*Q4)*'2.+3. Laktation'!$C18</f>
        <v>5.4872472000000005</v>
      </c>
      <c r="R19" s="495">
        <f>($E$19+$E$20*R4+$E$21*R4*R4)*'2.+3. Laktation'!$C19</f>
        <v>5.9989800000000004</v>
      </c>
      <c r="S19" s="495">
        <f>($E$19+$E$20*S4+$E$21*S4*S4)*'2.+3. Laktation'!$C20</f>
        <v>6.3782249999999996</v>
      </c>
      <c r="T19" s="495">
        <f>($E$19+$E$20*T4+$E$21*T4*T4)*'2.+3. Laktation'!$C21</f>
        <v>6.38042</v>
      </c>
      <c r="U19" s="495">
        <f>($E$19+$E$20*U4+$E$21*U4*U4)*'2.+3. Laktation'!$C22</f>
        <v>6.0635249999999994</v>
      </c>
      <c r="V19" s="495">
        <f>($E$19+$E$20*V4+$E$21*V4*V4)*'2.+3. Laktation'!$C23</f>
        <v>5.0084999999999997</v>
      </c>
      <c r="W19" s="495">
        <f>($E$19+$E$20*W4+$E$21*W4*W4)*'2.+3. Laktation'!$C24</f>
        <v>4.4567099999999993</v>
      </c>
      <c r="X19" s="495">
        <f>($E$19+$E$20*X4+$E$21*X4*X4)*'ab 4. Laktation'!$C16</f>
        <v>3.8340744000000004</v>
      </c>
      <c r="Y19" s="495">
        <f>($E$19+$E$20*Y4+$E$21*Y4*Y4)*'ab 4. Laktation'!$C17</f>
        <v>4.5338560000000001</v>
      </c>
      <c r="Z19" s="495">
        <f>($E$19+$E$20*Z4+$E$21*Z4*Z4)*'ab 4. Laktation'!$C18</f>
        <v>4.9768056000000005</v>
      </c>
      <c r="AA19" s="495">
        <f>($E$19+$E$20*AA4+$E$21*AA4*AA4)*'ab 4. Laktation'!$C19</f>
        <v>5.5375200000000007</v>
      </c>
      <c r="AB19" s="495">
        <f>($E$19+$E$20*AB4+$E$21*AB4*AB4)*'ab 4. Laktation'!$C20</f>
        <v>5.8315199999999994</v>
      </c>
      <c r="AC19" s="495">
        <f>($E$19+$E$20*AC4+$E$21*AC4*AC4)*'ab 4. Laktation'!$C21</f>
        <v>5.7629599999999996</v>
      </c>
      <c r="AD19" s="495">
        <f>($E$19+$E$20*AD4+$E$21*AD4*AD4)*'ab 4. Laktation'!$C22</f>
        <v>5.3897999999999993</v>
      </c>
      <c r="AE19" s="495">
        <f>($E$19+$E$20*AE4+$E$21*AE4*AE4)*'ab 4. Laktation'!$C23</f>
        <v>4.5314999999999994</v>
      </c>
      <c r="AF19" s="495">
        <f>($E$19+$E$20*AF4+$E$21*AF4*AF4)*'ab 4. Laktation'!$C24</f>
        <v>3.9615199999999997</v>
      </c>
      <c r="AG19" s="300"/>
      <c r="AH19" s="165">
        <v>7.2300000000000003E-2</v>
      </c>
      <c r="AI19" s="165">
        <v>0.20100000000000001</v>
      </c>
      <c r="AJ19" s="55">
        <f>(AH19+AH20*AM$6+AH21*AM$6*AM$6)*AM4</f>
        <v>4.9662000000000006</v>
      </c>
      <c r="AK19" s="45">
        <f>(AI19+AI20*AN$6+AI21*AN$6*AN$6)*AN4</f>
        <v>8.6597880000000007</v>
      </c>
      <c r="AL19" s="47"/>
    </row>
    <row r="20" spans="2:39" ht="18" customHeight="1" x14ac:dyDescent="0.25">
      <c r="B20" s="216" t="s">
        <v>28</v>
      </c>
      <c r="C20" s="197"/>
      <c r="D20" s="6" t="s">
        <v>29</v>
      </c>
      <c r="E20" s="114">
        <v>8.0979999999999995E-4</v>
      </c>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314" t="s">
        <v>147</v>
      </c>
      <c r="AH20" s="68">
        <v>8.1510000000000003E-4</v>
      </c>
      <c r="AI20" s="68">
        <v>8.0800000000000002E-4</v>
      </c>
      <c r="AJ20" s="57"/>
      <c r="AK20" s="108"/>
      <c r="AL20" s="58"/>
    </row>
    <row r="21" spans="2:39" ht="18.75" customHeight="1" thickBot="1" x14ac:dyDescent="0.3">
      <c r="B21" s="217"/>
      <c r="C21" s="218"/>
      <c r="D21" s="11" t="s">
        <v>30</v>
      </c>
      <c r="E21" s="180">
        <v>-9.6599999999999994E-7</v>
      </c>
      <c r="F21" s="497"/>
      <c r="G21" s="497"/>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300"/>
      <c r="AH21" s="166">
        <v>-1.065E-6</v>
      </c>
      <c r="AI21" s="166">
        <v>-1.299E-6</v>
      </c>
      <c r="AJ21" s="72"/>
      <c r="AK21" s="107"/>
      <c r="AL21" s="46"/>
      <c r="AM21" s="34"/>
    </row>
    <row r="22" spans="2:39" ht="30" x14ac:dyDescent="0.25">
      <c r="B22" s="332" t="s">
        <v>31</v>
      </c>
      <c r="C22" s="333" t="s">
        <v>32</v>
      </c>
      <c r="D22" s="8" t="s">
        <v>22</v>
      </c>
      <c r="E22" s="179">
        <v>0.69620000000000004</v>
      </c>
      <c r="F22" s="492">
        <f>($E$22+$E$23*F4+$E$24*F4*F4)*'1. Laktation'!$E16*0.88</f>
        <v>4.2982325760000011</v>
      </c>
      <c r="G22" s="492">
        <f>($E$22+$E$23*G4+$E$24*G4*G4)*'1. Laktation'!$E17*0.88</f>
        <v>4.8275998847999997</v>
      </c>
      <c r="H22" s="492">
        <f>($E$22+$E$23*H4+$E$24*H4*H4)*'1. Laktation'!$E18*0.88</f>
        <v>4.7743478464000004</v>
      </c>
      <c r="I22" s="492">
        <f>($E$22+$E$23*I4+$E$24*I4*I4)*'1. Laktation'!$E19*0.88</f>
        <v>3.7695011199999997</v>
      </c>
      <c r="J22" s="492">
        <f>($E$22+$E$23*J4+$E$24*J4*J4)*'1. Laktation'!$E20*0.88</f>
        <v>2.8927239000000005</v>
      </c>
      <c r="K22" s="492">
        <f>($E$22+$E$23*K4+$E$24*K4*K4)*'1. Laktation'!$E21*0.88</f>
        <v>2.0748076800000002</v>
      </c>
      <c r="L22" s="492">
        <f>($E$22+$E$23*L4+$E$24*L4*L4)*'1. Laktation'!$E22*0.88</f>
        <v>1.7808175000000002</v>
      </c>
      <c r="M22" s="492">
        <f>($E$22+$E$23*M4+$E$24*M4*M4)*'1. Laktation'!$E23*0.88</f>
        <v>1.27859072</v>
      </c>
      <c r="N22" s="492">
        <f>($E$22+$E$23*N4+$E$24*N4*N4)*'1. Laktation'!$E24*0.88</f>
        <v>0.66677863999999998</v>
      </c>
      <c r="O22" s="498">
        <f>($E$22+$E$23*O4+$E$24*O4*O4)*'2.+3. Laktation'!$E16*0.88</f>
        <v>5.1578790912000008</v>
      </c>
      <c r="P22" s="498">
        <f>($E$22+$E$23*P4+$E$24*P4*P4)*'2.+3. Laktation'!$E17*0.88</f>
        <v>5.3639998719999999</v>
      </c>
      <c r="Q22" s="498">
        <f>($E$22+$E$23*Q4+$E$24*Q4*Q4)*'2.+3. Laktation'!$E18*0.88</f>
        <v>5.0256293119999995</v>
      </c>
      <c r="R22" s="498">
        <f>($E$22+$E$23*R4+$E$24*R4*R4)*'2.+3. Laktation'!$E19*0.88</f>
        <v>3.9912364799999995</v>
      </c>
      <c r="S22" s="498">
        <f>($E$22+$E$23*S4+$E$24*S4*S4)*'2.+3. Laktation'!$E20*0.88</f>
        <v>2.5070273800000002</v>
      </c>
      <c r="T22" s="498">
        <f>($E$22+$E$23*T4+$E$24*T4*T4)*'2.+3. Laktation'!$E21*0.88</f>
        <v>1.5561057599999999</v>
      </c>
      <c r="U22" s="498">
        <f>($E$22+$E$23*U4+$E$24*U4*U4)*'2.+3. Laktation'!$E22*0.88</f>
        <v>0.64757000000000009</v>
      </c>
      <c r="V22" s="498">
        <f>($E$22+$E$23*V4+$E$24*V4*V4)*'2.+3. Laktation'!$E23*0.88</f>
        <v>0</v>
      </c>
      <c r="W22" s="498">
        <f>($E$22+$E$23*W4+$E$24*W4*W4)*'2.+3. Laktation'!$E24*0.88</f>
        <v>0</v>
      </c>
      <c r="X22" s="498">
        <f>($E$22+$E$23*X4+$E$24*X4*X4)*'ab 4. Laktation'!$E16*0.88</f>
        <v>4.5847814144000001</v>
      </c>
      <c r="Y22" s="498">
        <f>($E$22+$E$23*Y4+$E$24*Y4*Y4)*'ab 4. Laktation'!$E17*0.88</f>
        <v>5.9003998592000002</v>
      </c>
      <c r="Z22" s="498">
        <f>($E$22+$E$23*Z4+$E$24*Z4*Z4)*'ab 4. Laktation'!$E18*0.88</f>
        <v>5.5281922431999995</v>
      </c>
      <c r="AA22" s="498">
        <f>($E$22+$E$23*AA4+$E$24*AA4*AA4)*'ab 4. Laktation'!$E19*0.88</f>
        <v>4.6564425599999995</v>
      </c>
      <c r="AB22" s="498">
        <f>($E$22+$E$23*AB4+$E$24*AB4*AB4)*'ab 4. Laktation'!$E20*0.88</f>
        <v>3.4712686800000006</v>
      </c>
      <c r="AC22" s="498">
        <f>($E$22+$E$23*AC4+$E$24*AC4*AC4)*'ab 4. Laktation'!$E21*0.88</f>
        <v>2.2477083200000001</v>
      </c>
      <c r="AD22" s="498">
        <f>($E$22+$E$23*AD4+$E$24*AD4*AD4)*'ab 4. Laktation'!$E22*0.88</f>
        <v>1.1332475000000002</v>
      </c>
      <c r="AE22" s="498">
        <f>($E$22+$E$23*AE4+$E$24*AE4*AE4)*'ab 4. Laktation'!$E23*0.88</f>
        <v>0</v>
      </c>
      <c r="AF22" s="498">
        <f>($E$22+$E$23*AF4+$E$24*AF4*AF4)*'ab 4. Laktation'!$E24*0.88</f>
        <v>0</v>
      </c>
      <c r="AG22" s="300"/>
      <c r="AH22" s="165">
        <v>0.68559999999999999</v>
      </c>
      <c r="AI22" s="165">
        <v>0</v>
      </c>
      <c r="AJ22" s="74">
        <f>(AH22+AH23*AM$6+AH24*AM$6*AM$6)*AM5</f>
        <v>3.2282815599999997</v>
      </c>
      <c r="AK22" s="48"/>
      <c r="AL22" s="44"/>
    </row>
    <row r="23" spans="2:39" ht="18" x14ac:dyDescent="0.25">
      <c r="B23" s="334" t="s">
        <v>28</v>
      </c>
      <c r="C23" s="335"/>
      <c r="D23" s="6" t="s">
        <v>29</v>
      </c>
      <c r="E23" s="114">
        <v>-2.3289000000000001E-3</v>
      </c>
      <c r="F23" s="493"/>
      <c r="G23" s="493"/>
      <c r="H23" s="493"/>
      <c r="I23" s="493"/>
      <c r="J23" s="493"/>
      <c r="K23" s="493"/>
      <c r="L23" s="493"/>
      <c r="M23" s="493"/>
      <c r="N23" s="493"/>
      <c r="O23" s="499"/>
      <c r="P23" s="499"/>
      <c r="Q23" s="499"/>
      <c r="R23" s="499"/>
      <c r="S23" s="499"/>
      <c r="T23" s="499"/>
      <c r="U23" s="499"/>
      <c r="V23" s="499"/>
      <c r="W23" s="499"/>
      <c r="X23" s="499"/>
      <c r="Y23" s="499"/>
      <c r="Z23" s="499"/>
      <c r="AA23" s="499"/>
      <c r="AB23" s="499"/>
      <c r="AC23" s="499"/>
      <c r="AD23" s="499"/>
      <c r="AE23" s="499"/>
      <c r="AF23" s="499"/>
      <c r="AG23" s="314" t="s">
        <v>162</v>
      </c>
      <c r="AH23" s="68">
        <v>-2.1353000000000001E-3</v>
      </c>
      <c r="AI23" s="68">
        <v>0</v>
      </c>
      <c r="AJ23" s="75"/>
      <c r="AK23" s="107"/>
      <c r="AL23" s="59"/>
    </row>
    <row r="24" spans="2:39" ht="18.75" thickBot="1" x14ac:dyDescent="0.3">
      <c r="B24" s="336" t="s">
        <v>98</v>
      </c>
      <c r="C24" s="337"/>
      <c r="D24" s="11" t="s">
        <v>30</v>
      </c>
      <c r="E24" s="180">
        <v>4.0633999999999999E-6</v>
      </c>
      <c r="F24" s="494"/>
      <c r="G24" s="494"/>
      <c r="H24" s="494"/>
      <c r="I24" s="494"/>
      <c r="J24" s="494"/>
      <c r="K24" s="494"/>
      <c r="L24" s="494"/>
      <c r="M24" s="494"/>
      <c r="N24" s="494"/>
      <c r="O24" s="500"/>
      <c r="P24" s="500"/>
      <c r="Q24" s="500"/>
      <c r="R24" s="500"/>
      <c r="S24" s="500"/>
      <c r="T24" s="500"/>
      <c r="U24" s="500"/>
      <c r="V24" s="500"/>
      <c r="W24" s="500"/>
      <c r="X24" s="500"/>
      <c r="Y24" s="500"/>
      <c r="Z24" s="500"/>
      <c r="AA24" s="500"/>
      <c r="AB24" s="500"/>
      <c r="AC24" s="500"/>
      <c r="AD24" s="500"/>
      <c r="AE24" s="500"/>
      <c r="AF24" s="500"/>
      <c r="AG24" s="300"/>
      <c r="AH24" s="166">
        <v>3.8023E-6</v>
      </c>
      <c r="AI24" s="162">
        <v>0</v>
      </c>
      <c r="AJ24" s="77"/>
      <c r="AK24" s="107"/>
      <c r="AL24" s="44"/>
      <c r="AM24" s="35"/>
    </row>
    <row r="25" spans="2:39" ht="21.75" thickBot="1" x14ac:dyDescent="0.3">
      <c r="B25" s="15" t="s">
        <v>36</v>
      </c>
      <c r="C25" s="16" t="s">
        <v>37</v>
      </c>
      <c r="D25" s="16" t="s">
        <v>33</v>
      </c>
      <c r="E25" s="181">
        <v>0.85799999999999998</v>
      </c>
      <c r="F25" s="292">
        <f>$E$25*'1. Laktation'!$C$13</f>
        <v>5.2337999999999996</v>
      </c>
      <c r="G25" s="292">
        <f>$E$25*'1. Laktation'!$C$13</f>
        <v>5.2337999999999996</v>
      </c>
      <c r="H25" s="292">
        <f>$E$25*'1. Laktation'!$C$13</f>
        <v>5.2337999999999996</v>
      </c>
      <c r="I25" s="292">
        <f>$E$25*'1. Laktation'!$C$13</f>
        <v>5.2337999999999996</v>
      </c>
      <c r="J25" s="292">
        <f>$E$25*'1. Laktation'!$C$13</f>
        <v>5.2337999999999996</v>
      </c>
      <c r="K25" s="292">
        <f>$E$25*'1. Laktation'!$C$13</f>
        <v>5.2337999999999996</v>
      </c>
      <c r="L25" s="292">
        <f>$E$25*'1. Laktation'!$C$13</f>
        <v>5.2337999999999996</v>
      </c>
      <c r="M25" s="292">
        <f>$E$25*'1. Laktation'!$C$13</f>
        <v>5.2337999999999996</v>
      </c>
      <c r="N25" s="292">
        <f>$E$25*'1. Laktation'!$C$13</f>
        <v>5.2337999999999996</v>
      </c>
      <c r="O25" s="292">
        <f>$E$25*'2.+3. Laktation'!$C$13</f>
        <v>5.7485999999999997</v>
      </c>
      <c r="P25" s="292">
        <f>$E$25*'2.+3. Laktation'!$C$13</f>
        <v>5.7485999999999997</v>
      </c>
      <c r="Q25" s="292">
        <f>$E$25*'2.+3. Laktation'!$C$13</f>
        <v>5.7485999999999997</v>
      </c>
      <c r="R25" s="292">
        <f>$E$25*'2.+3. Laktation'!$C$13</f>
        <v>5.7485999999999997</v>
      </c>
      <c r="S25" s="292">
        <f>$E$25*'2.+3. Laktation'!$C$13</f>
        <v>5.7485999999999997</v>
      </c>
      <c r="T25" s="292">
        <f>$E$25*'2.+3. Laktation'!$C$13</f>
        <v>5.7485999999999997</v>
      </c>
      <c r="U25" s="292">
        <f>$E$25*'2.+3. Laktation'!$C$13</f>
        <v>5.7485999999999997</v>
      </c>
      <c r="V25" s="292">
        <f>$E$25*'2.+3. Laktation'!$C$13</f>
        <v>5.7485999999999997</v>
      </c>
      <c r="W25" s="292">
        <f>$E$25*'2.+3. Laktation'!$C$13</f>
        <v>5.7485999999999997</v>
      </c>
      <c r="X25" s="292">
        <f>$E$25*'ab 4. Laktation'!$C$13</f>
        <v>5.3196000000000003</v>
      </c>
      <c r="Y25" s="292">
        <f>$E$25*'ab 4. Laktation'!$C$13</f>
        <v>5.3196000000000003</v>
      </c>
      <c r="Z25" s="292">
        <f>$E$25*'ab 4. Laktation'!$C$13</f>
        <v>5.3196000000000003</v>
      </c>
      <c r="AA25" s="292">
        <f>$E$25*'ab 4. Laktation'!$C$13</f>
        <v>5.3196000000000003</v>
      </c>
      <c r="AB25" s="292">
        <f>$E$25*'ab 4. Laktation'!$C$13</f>
        <v>5.3196000000000003</v>
      </c>
      <c r="AC25" s="292">
        <f>$E$25*'ab 4. Laktation'!$C$13</f>
        <v>5.3196000000000003</v>
      </c>
      <c r="AD25" s="292">
        <f>$E$25*'ab 4. Laktation'!$C$13</f>
        <v>5.3196000000000003</v>
      </c>
      <c r="AE25" s="292">
        <f>$E$25*'ab 4. Laktation'!$C$13</f>
        <v>5.3196000000000003</v>
      </c>
      <c r="AF25" s="292">
        <f>$E$25*'ab 4. Laktation'!$C$13</f>
        <v>5.3196000000000003</v>
      </c>
      <c r="AG25" s="313" t="s">
        <v>148</v>
      </c>
      <c r="AH25" s="168">
        <v>0.98299999999999998</v>
      </c>
      <c r="AI25" s="168">
        <v>0.60899999999999999</v>
      </c>
      <c r="AJ25" s="78">
        <f>AH25*AM9</f>
        <v>6.0945999999999998</v>
      </c>
      <c r="AK25" s="49">
        <f>AI25*AN9</f>
        <v>3.7757999999999998</v>
      </c>
      <c r="AL25" s="44"/>
    </row>
    <row r="26" spans="2:39" ht="30" x14ac:dyDescent="0.25">
      <c r="B26" s="7" t="s">
        <v>34</v>
      </c>
      <c r="C26" s="8" t="s">
        <v>35</v>
      </c>
      <c r="D26" s="8" t="s">
        <v>22</v>
      </c>
      <c r="E26" s="179">
        <v>0</v>
      </c>
      <c r="F26" s="118"/>
      <c r="G26" s="118"/>
      <c r="H26" s="118"/>
      <c r="I26" s="118"/>
      <c r="J26" s="118"/>
      <c r="K26" s="118"/>
      <c r="L26" s="118"/>
      <c r="M26" s="118"/>
      <c r="N26" s="118"/>
      <c r="O26" s="118"/>
      <c r="P26" s="118"/>
      <c r="Q26" s="118"/>
      <c r="R26" s="118"/>
      <c r="S26" s="118"/>
      <c r="T26" s="118"/>
      <c r="U26" s="118"/>
      <c r="V26" s="118"/>
      <c r="W26" s="118"/>
      <c r="X26" s="118"/>
      <c r="Y26" s="119"/>
      <c r="Z26" s="119"/>
      <c r="AA26" s="119"/>
      <c r="AB26" s="119"/>
      <c r="AC26" s="119"/>
      <c r="AD26" s="119"/>
      <c r="AE26" s="119"/>
      <c r="AF26" s="119"/>
      <c r="AG26" s="300"/>
      <c r="AH26" s="165">
        <v>0</v>
      </c>
      <c r="AI26" s="165">
        <v>6.3100000000000003E-2</v>
      </c>
      <c r="AJ26" s="79"/>
      <c r="AK26" s="48">
        <f>(AI26+AI27*AN$6+AI28*AN$6*AN$6)*AN5*100</f>
        <v>1.4453392000000005</v>
      </c>
      <c r="AL26" s="44"/>
    </row>
    <row r="27" spans="2:39" x14ac:dyDescent="0.25">
      <c r="B27" s="9" t="s">
        <v>28</v>
      </c>
      <c r="C27" s="6"/>
      <c r="D27" s="6" t="s">
        <v>29</v>
      </c>
      <c r="E27" s="114">
        <v>0</v>
      </c>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313"/>
      <c r="AH27" s="68">
        <v>0</v>
      </c>
      <c r="AI27" s="68">
        <v>-2.096E-4</v>
      </c>
      <c r="AJ27" s="80"/>
      <c r="AK27" s="107"/>
      <c r="AL27" s="59"/>
    </row>
    <row r="28" spans="2:39" ht="21.75" thickBot="1" x14ac:dyDescent="0.3">
      <c r="B28" s="10"/>
      <c r="C28" s="11"/>
      <c r="D28" s="11" t="s">
        <v>30</v>
      </c>
      <c r="E28" s="178">
        <v>0</v>
      </c>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300"/>
      <c r="AH28" s="167">
        <v>0</v>
      </c>
      <c r="AI28" s="166">
        <v>1.2130000000000001E-7</v>
      </c>
      <c r="AJ28" s="80"/>
      <c r="AK28" s="107"/>
      <c r="AL28" s="44"/>
    </row>
    <row r="29" spans="2:39" x14ac:dyDescent="0.25">
      <c r="B29" s="17" t="s">
        <v>38</v>
      </c>
      <c r="C29" s="20" t="s">
        <v>39</v>
      </c>
      <c r="D29" s="20" t="s">
        <v>33</v>
      </c>
      <c r="E29" s="182">
        <v>0</v>
      </c>
      <c r="F29" s="120"/>
      <c r="G29" s="120"/>
      <c r="H29" s="120"/>
      <c r="I29" s="120"/>
      <c r="J29" s="120"/>
      <c r="K29" s="120"/>
      <c r="L29" s="120"/>
      <c r="M29" s="120"/>
      <c r="N29" s="120"/>
      <c r="O29" s="120"/>
      <c r="P29" s="209"/>
      <c r="Q29" s="209"/>
      <c r="R29" s="209"/>
      <c r="S29" s="209"/>
      <c r="T29" s="209"/>
      <c r="U29" s="209"/>
      <c r="V29" s="209"/>
      <c r="W29" s="209"/>
      <c r="X29" s="120"/>
      <c r="Y29" s="267"/>
      <c r="Z29" s="267"/>
      <c r="AA29" s="267"/>
      <c r="AB29" s="267"/>
      <c r="AC29" s="267"/>
      <c r="AD29" s="267"/>
      <c r="AE29" s="267"/>
      <c r="AF29" s="267"/>
      <c r="AH29" s="169">
        <v>1.154E-2</v>
      </c>
      <c r="AI29" s="169">
        <v>0</v>
      </c>
      <c r="AJ29" s="81">
        <f>AH29*AQ2*100</f>
        <v>0.1154</v>
      </c>
      <c r="AK29" s="110"/>
      <c r="AL29" s="60"/>
    </row>
    <row r="30" spans="2:39" ht="15" customHeight="1" x14ac:dyDescent="0.25">
      <c r="B30" s="18" t="s">
        <v>40</v>
      </c>
      <c r="C30" s="21" t="s">
        <v>39</v>
      </c>
      <c r="D30" s="21" t="s">
        <v>33</v>
      </c>
      <c r="E30" s="183">
        <v>0</v>
      </c>
      <c r="F30" s="120"/>
      <c r="G30" s="120"/>
      <c r="H30" s="120"/>
      <c r="I30" s="120"/>
      <c r="J30" s="120"/>
      <c r="K30" s="120"/>
      <c r="L30" s="120"/>
      <c r="M30" s="120"/>
      <c r="N30" s="120"/>
      <c r="O30" s="120"/>
      <c r="P30" s="209"/>
      <c r="Q30" s="209"/>
      <c r="R30" s="209"/>
      <c r="S30" s="209"/>
      <c r="T30" s="209"/>
      <c r="U30" s="209"/>
      <c r="V30" s="209"/>
      <c r="W30" s="209"/>
      <c r="X30" s="120"/>
      <c r="Y30" s="267"/>
      <c r="Z30" s="267"/>
      <c r="AA30" s="267"/>
      <c r="AB30" s="267"/>
      <c r="AC30" s="267"/>
      <c r="AD30" s="267"/>
      <c r="AE30" s="267"/>
      <c r="AF30" s="267"/>
      <c r="AH30" s="170">
        <v>6.9899999999999997E-3</v>
      </c>
      <c r="AI30" s="170">
        <v>0</v>
      </c>
      <c r="AJ30" s="81">
        <f>AH30*AQ3*100</f>
        <v>0.24464999999999998</v>
      </c>
      <c r="AK30" s="110"/>
      <c r="AL30" s="50"/>
    </row>
    <row r="31" spans="2:39" ht="21.75" thickBot="1" x14ac:dyDescent="0.3">
      <c r="B31" s="18" t="s">
        <v>41</v>
      </c>
      <c r="C31" s="21" t="s">
        <v>39</v>
      </c>
      <c r="D31" s="21" t="s">
        <v>33</v>
      </c>
      <c r="E31" s="183">
        <v>0</v>
      </c>
      <c r="F31" s="120"/>
      <c r="G31" s="120"/>
      <c r="H31" s="120"/>
      <c r="I31" s="120"/>
      <c r="J31" s="120"/>
      <c r="K31" s="120"/>
      <c r="L31" s="120"/>
      <c r="M31" s="120"/>
      <c r="N31" s="120"/>
      <c r="O31" s="120"/>
      <c r="P31" s="209"/>
      <c r="Q31" s="209"/>
      <c r="R31" s="209"/>
      <c r="S31" s="209"/>
      <c r="T31" s="209"/>
      <c r="U31" s="209"/>
      <c r="V31" s="209"/>
      <c r="W31" s="209"/>
      <c r="X31" s="120"/>
      <c r="Y31" s="267"/>
      <c r="Z31" s="267"/>
      <c r="AA31" s="267"/>
      <c r="AB31" s="267"/>
      <c r="AC31" s="267"/>
      <c r="AD31" s="267"/>
      <c r="AE31" s="267"/>
      <c r="AF31" s="267"/>
      <c r="AH31" s="170">
        <v>5.5799999999999999E-3</v>
      </c>
      <c r="AI31" s="170">
        <v>0</v>
      </c>
      <c r="AJ31" s="81">
        <f>AH31*AQ6*100</f>
        <v>0</v>
      </c>
      <c r="AK31" s="110"/>
      <c r="AL31" s="50"/>
    </row>
    <row r="32" spans="2:39" x14ac:dyDescent="0.25">
      <c r="B32" s="29" t="s">
        <v>53</v>
      </c>
      <c r="C32" s="30" t="s">
        <v>42</v>
      </c>
      <c r="D32" s="31" t="s">
        <v>55</v>
      </c>
      <c r="E32" s="184">
        <v>0</v>
      </c>
      <c r="F32" s="478"/>
      <c r="G32" s="120"/>
      <c r="H32" s="120"/>
      <c r="I32" s="120"/>
      <c r="J32" s="120"/>
      <c r="K32" s="120"/>
      <c r="L32" s="120"/>
      <c r="M32" s="120"/>
      <c r="N32" s="120"/>
      <c r="O32" s="120"/>
      <c r="P32" s="209"/>
      <c r="Q32" s="209"/>
      <c r="R32" s="209"/>
      <c r="S32" s="209"/>
      <c r="T32" s="209"/>
      <c r="U32" s="209"/>
      <c r="V32" s="209"/>
      <c r="W32" s="209"/>
      <c r="X32" s="120"/>
      <c r="Y32" s="267"/>
      <c r="Z32" s="267"/>
      <c r="AA32" s="267"/>
      <c r="AB32" s="267"/>
      <c r="AC32" s="267"/>
      <c r="AD32" s="267"/>
      <c r="AE32" s="267"/>
      <c r="AF32" s="267"/>
      <c r="AH32" s="171">
        <v>0.20530000000000001</v>
      </c>
      <c r="AI32" s="171">
        <v>0</v>
      </c>
      <c r="AJ32" s="476">
        <f>AH32*AQ4+AH33*AQ4*AQ4</f>
        <v>3.6219840000000003</v>
      </c>
      <c r="AK32" s="110"/>
      <c r="AL32" s="50"/>
    </row>
    <row r="33" spans="2:44" ht="21.75" thickBot="1" x14ac:dyDescent="0.3">
      <c r="B33" s="32" t="s">
        <v>54</v>
      </c>
      <c r="C33" s="22"/>
      <c r="D33" s="33" t="s">
        <v>56</v>
      </c>
      <c r="E33" s="185">
        <v>0</v>
      </c>
      <c r="F33" s="479"/>
      <c r="G33" s="127"/>
      <c r="H33" s="127"/>
      <c r="I33" s="127"/>
      <c r="J33" s="127"/>
      <c r="K33" s="127"/>
      <c r="L33" s="127"/>
      <c r="M33" s="127"/>
      <c r="N33" s="127"/>
      <c r="O33" s="127"/>
      <c r="P33" s="210"/>
      <c r="Q33" s="210"/>
      <c r="R33" s="210"/>
      <c r="S33" s="210"/>
      <c r="T33" s="210"/>
      <c r="U33" s="210"/>
      <c r="V33" s="210"/>
      <c r="W33" s="210"/>
      <c r="X33" s="127"/>
      <c r="Y33" s="267"/>
      <c r="Z33" s="267"/>
      <c r="AA33" s="267"/>
      <c r="AB33" s="267"/>
      <c r="AC33" s="267"/>
      <c r="AD33" s="267"/>
      <c r="AE33" s="267"/>
      <c r="AF33" s="267"/>
      <c r="AH33" s="172">
        <v>-2.2659999999999998E-3</v>
      </c>
      <c r="AI33" s="172">
        <v>0</v>
      </c>
      <c r="AJ33" s="477"/>
      <c r="AK33" s="111"/>
      <c r="AL33" s="50"/>
    </row>
    <row r="34" spans="2:44" ht="21.75" thickBot="1" x14ac:dyDescent="0.3">
      <c r="B34" s="36" t="s">
        <v>71</v>
      </c>
      <c r="C34" s="37"/>
      <c r="D34" s="38"/>
      <c r="E34" s="186"/>
      <c r="F34" s="121">
        <f t="shared" ref="F34:N34" si="5">SUM(F5:F33)</f>
        <v>17.73862590330441</v>
      </c>
      <c r="G34" s="121">
        <f t="shared" si="5"/>
        <v>19.221148552751718</v>
      </c>
      <c r="H34" s="121">
        <f t="shared" si="5"/>
        <v>19.675782648748914</v>
      </c>
      <c r="I34" s="121">
        <f t="shared" si="5"/>
        <v>19.21220709321608</v>
      </c>
      <c r="J34" s="121">
        <f t="shared" si="5"/>
        <v>18.633016540718458</v>
      </c>
      <c r="K34" s="121">
        <f t="shared" si="5"/>
        <v>17.809710731645801</v>
      </c>
      <c r="L34" s="121">
        <f t="shared" si="5"/>
        <v>17.560981853049306</v>
      </c>
      <c r="M34" s="121">
        <f t="shared" si="5"/>
        <v>16.791966092176629</v>
      </c>
      <c r="N34" s="121">
        <f t="shared" si="5"/>
        <v>16.107961246801288</v>
      </c>
      <c r="O34" s="121">
        <f t="shared" ref="O34" si="6">SUM(O5:O33)</f>
        <v>23.966949618504412</v>
      </c>
      <c r="P34" s="121">
        <f t="shared" ref="P34" si="7">SUM(P5:P33)</f>
        <v>25.23687533995172</v>
      </c>
      <c r="Q34" s="121">
        <f t="shared" ref="Q34" si="8">SUM(Q5:Q33)</f>
        <v>25.450757714348914</v>
      </c>
      <c r="R34" s="121">
        <f t="shared" ref="R34" si="9">SUM(R5:R33)</f>
        <v>24.768892453216079</v>
      </c>
      <c r="S34" s="121">
        <f t="shared" ref="S34" si="10">SUM(S5:S33)</f>
        <v>23.288640020718457</v>
      </c>
      <c r="T34" s="121">
        <f t="shared" ref="T34" si="11">SUM(T5:T33)</f>
        <v>22.022688811645803</v>
      </c>
      <c r="U34" s="121">
        <f t="shared" ref="U34" si="12">SUM(U5:U33)</f>
        <v>20.673546853049309</v>
      </c>
      <c r="V34" s="121">
        <f t="shared" ref="V34" si="13">SUM(V5:V33)</f>
        <v>19.105185372176635</v>
      </c>
      <c r="W34" s="121">
        <f t="shared" ref="W34" si="14">SUM(W5:W33)</f>
        <v>18.97622260680129</v>
      </c>
      <c r="X34" s="121">
        <f t="shared" ref="X34" si="15">SUM(X5:X33)</f>
        <v>20.704515141704412</v>
      </c>
      <c r="Y34" s="121">
        <f t="shared" ref="Y34" si="16">SUM(Y5:Y33)</f>
        <v>22.967457727151718</v>
      </c>
      <c r="Z34" s="121">
        <f t="shared" ref="Z34" si="17">SUM(Z5:Z33)</f>
        <v>23.128807045548914</v>
      </c>
      <c r="AA34" s="121">
        <f t="shared" ref="AA34" si="18">SUM(AA5:AA33)</f>
        <v>22.724438533216084</v>
      </c>
      <c r="AB34" s="121">
        <f t="shared" ref="AB34" si="19">SUM(AB5:AB33)</f>
        <v>21.51997632071846</v>
      </c>
      <c r="AC34" s="121">
        <f t="shared" ref="AC34" si="20">SUM(AC5:AC33)</f>
        <v>19.950031371645803</v>
      </c>
      <c r="AD34" s="121">
        <f t="shared" ref="AD34" si="21">SUM(AD5:AD33)</f>
        <v>18.355499353049307</v>
      </c>
      <c r="AE34" s="121">
        <f t="shared" ref="AE34" si="22">SUM(AE5:AE33)</f>
        <v>16.492385372176631</v>
      </c>
      <c r="AF34" s="121">
        <f t="shared" ref="AF34" si="23">SUM(AF5:AF33)</f>
        <v>16.316832606801292</v>
      </c>
      <c r="AH34" s="173"/>
      <c r="AI34" s="173"/>
      <c r="AJ34" s="82">
        <f>SUM(AJ5:AJ33)</f>
        <v>21.955470936082165</v>
      </c>
      <c r="AK34" s="39">
        <f>SUM(AK5:AK33)</f>
        <v>21.330132759494898</v>
      </c>
      <c r="AL34" s="50"/>
    </row>
    <row r="35" spans="2:44" s="1" customFormat="1" ht="21.75" thickBot="1" x14ac:dyDescent="0.3">
      <c r="B35" s="17" t="s">
        <v>47</v>
      </c>
      <c r="C35" s="42" t="s">
        <v>48</v>
      </c>
      <c r="D35" s="20"/>
      <c r="E35" s="182" t="s">
        <v>96</v>
      </c>
      <c r="F35" s="122">
        <f>0.47+0.93*F34</f>
        <v>16.966922090073101</v>
      </c>
      <c r="G35" s="122">
        <f t="shared" ref="G35:N35" si="24">0.47+0.93*G34</f>
        <v>18.345668154059098</v>
      </c>
      <c r="H35" s="122">
        <f t="shared" si="24"/>
        <v>18.768477863336489</v>
      </c>
      <c r="I35" s="122">
        <f t="shared" si="24"/>
        <v>18.337352596690955</v>
      </c>
      <c r="J35" s="122">
        <f t="shared" si="24"/>
        <v>17.798705382868167</v>
      </c>
      <c r="K35" s="122">
        <f t="shared" si="24"/>
        <v>17.033030980430595</v>
      </c>
      <c r="L35" s="122">
        <f t="shared" si="24"/>
        <v>16.801713123335855</v>
      </c>
      <c r="M35" s="122">
        <f t="shared" si="24"/>
        <v>16.086528465724268</v>
      </c>
      <c r="N35" s="122">
        <f t="shared" si="24"/>
        <v>15.4504039595252</v>
      </c>
      <c r="O35" s="122">
        <f t="shared" ref="O35:AF35" si="25">0.47+0.93*O34</f>
        <v>22.759263145209104</v>
      </c>
      <c r="P35" s="122">
        <f t="shared" si="25"/>
        <v>23.940294066155101</v>
      </c>
      <c r="Q35" s="122">
        <f t="shared" si="25"/>
        <v>24.139204674344491</v>
      </c>
      <c r="R35" s="122">
        <f t="shared" si="25"/>
        <v>23.505069981490955</v>
      </c>
      <c r="S35" s="122">
        <f t="shared" si="25"/>
        <v>22.128435219268166</v>
      </c>
      <c r="T35" s="122">
        <f t="shared" si="25"/>
        <v>20.951100594830596</v>
      </c>
      <c r="U35" s="122">
        <f t="shared" si="25"/>
        <v>19.696398573335859</v>
      </c>
      <c r="V35" s="122">
        <f t="shared" si="25"/>
        <v>18.237822396124269</v>
      </c>
      <c r="W35" s="122">
        <f t="shared" si="25"/>
        <v>18.117887024325199</v>
      </c>
      <c r="X35" s="122">
        <f t="shared" si="25"/>
        <v>19.725199081785103</v>
      </c>
      <c r="Y35" s="122">
        <f t="shared" si="25"/>
        <v>21.829735686251098</v>
      </c>
      <c r="Z35" s="122">
        <f t="shared" si="25"/>
        <v>21.979790552360491</v>
      </c>
      <c r="AA35" s="122">
        <f t="shared" si="25"/>
        <v>21.603727835890957</v>
      </c>
      <c r="AB35" s="122">
        <f t="shared" si="25"/>
        <v>20.483577978268169</v>
      </c>
      <c r="AC35" s="122">
        <f t="shared" si="25"/>
        <v>19.023529175630596</v>
      </c>
      <c r="AD35" s="122">
        <f t="shared" si="25"/>
        <v>17.540614398335855</v>
      </c>
      <c r="AE35" s="122">
        <f t="shared" si="25"/>
        <v>15.807918396124268</v>
      </c>
      <c r="AF35" s="122">
        <f t="shared" si="25"/>
        <v>15.644654324325202</v>
      </c>
      <c r="AH35" s="169" t="s">
        <v>94</v>
      </c>
      <c r="AI35" s="169" t="s">
        <v>95</v>
      </c>
      <c r="AJ35" s="40">
        <f>0.38+0.932*AJ34</f>
        <v>20.842498912428578</v>
      </c>
      <c r="AK35" s="40">
        <f>0.71+0.92*AK34</f>
        <v>20.333722138735308</v>
      </c>
      <c r="AL35" s="39"/>
      <c r="AM35" s="2"/>
      <c r="AN35" s="2"/>
      <c r="AO35" s="2"/>
      <c r="AP35" s="2"/>
      <c r="AR35" s="2"/>
    </row>
    <row r="36" spans="2:44" ht="22.5" thickTop="1" thickBot="1" x14ac:dyDescent="0.3">
      <c r="B36" s="43" t="s">
        <v>72</v>
      </c>
      <c r="C36" s="43"/>
      <c r="D36" s="43"/>
      <c r="E36" s="187"/>
      <c r="F36" s="205"/>
      <c r="G36" s="205"/>
      <c r="H36" s="205"/>
      <c r="I36" s="205"/>
      <c r="J36" s="205"/>
      <c r="K36" s="205"/>
      <c r="L36" s="205"/>
      <c r="M36" s="205"/>
      <c r="N36" s="205"/>
      <c r="O36" s="123"/>
      <c r="P36" s="123"/>
      <c r="Q36" s="123"/>
      <c r="R36" s="123"/>
      <c r="S36" s="123"/>
      <c r="T36" s="123"/>
      <c r="U36" s="123"/>
      <c r="V36" s="123"/>
      <c r="W36" s="123"/>
      <c r="X36" s="123"/>
      <c r="Y36" s="123"/>
      <c r="Z36" s="123"/>
      <c r="AA36" s="123"/>
      <c r="AB36" s="123"/>
      <c r="AC36" s="123"/>
      <c r="AD36" s="123"/>
      <c r="AE36" s="123"/>
      <c r="AF36" s="123"/>
      <c r="AH36" s="174"/>
      <c r="AI36" s="206" t="s">
        <v>97</v>
      </c>
      <c r="AJ36" s="41">
        <f>AJ35-AM5</f>
        <v>13.842498912428578</v>
      </c>
      <c r="AK36" s="41">
        <f>AK35*(1-AN5)</f>
        <v>12.200233283241184</v>
      </c>
      <c r="AL36" s="61"/>
    </row>
    <row r="37" spans="2:44" ht="21.75" thickTop="1" x14ac:dyDescent="0.25">
      <c r="B37" s="17" t="s">
        <v>43</v>
      </c>
      <c r="C37" s="20" t="s">
        <v>44</v>
      </c>
      <c r="D37" s="20" t="s">
        <v>33</v>
      </c>
      <c r="E37" s="182">
        <v>86.7</v>
      </c>
      <c r="AH37" s="169">
        <v>87</v>
      </c>
      <c r="AI37" s="169">
        <v>83.5</v>
      </c>
      <c r="AL37" s="61"/>
    </row>
    <row r="38" spans="2:44" x14ac:dyDescent="0.25">
      <c r="B38" s="18" t="s">
        <v>45</v>
      </c>
      <c r="C38" s="21" t="s">
        <v>32</v>
      </c>
      <c r="D38" s="21" t="s">
        <v>33</v>
      </c>
      <c r="E38" s="183">
        <v>1.32</v>
      </c>
      <c r="AH38" s="170">
        <v>1.3</v>
      </c>
      <c r="AI38" s="170">
        <v>1.46</v>
      </c>
      <c r="AM38" s="1"/>
      <c r="AN38" s="1"/>
      <c r="AO38" s="1"/>
      <c r="AP38" s="1"/>
      <c r="AR38" s="1"/>
    </row>
    <row r="39" spans="2:44" ht="21.75" thickBot="1" x14ac:dyDescent="0.3">
      <c r="B39" s="19" t="s">
        <v>46</v>
      </c>
      <c r="C39" s="22" t="s">
        <v>44</v>
      </c>
      <c r="D39" s="22" t="s">
        <v>33</v>
      </c>
      <c r="E39" s="185">
        <v>7.1</v>
      </c>
      <c r="AH39" s="175">
        <v>7</v>
      </c>
      <c r="AI39" s="172">
        <v>7.9</v>
      </c>
    </row>
    <row r="40" spans="2:44" x14ac:dyDescent="0.25">
      <c r="B40" s="4" t="s">
        <v>5</v>
      </c>
      <c r="C40" s="3" t="s">
        <v>6</v>
      </c>
      <c r="D40" s="4"/>
    </row>
    <row r="41" spans="2:44" x14ac:dyDescent="0.25">
      <c r="B41" s="4" t="s">
        <v>9</v>
      </c>
      <c r="C41" s="3" t="s">
        <v>7</v>
      </c>
      <c r="D41" s="4"/>
    </row>
    <row r="42" spans="2:44" x14ac:dyDescent="0.25">
      <c r="C42" s="3" t="s">
        <v>8</v>
      </c>
    </row>
  </sheetData>
  <sheetProtection password="CF35" sheet="1" objects="1" scenarios="1" insertHyperlinks="0" selectLockedCells="1"/>
  <mergeCells count="137">
    <mergeCell ref="AD22:AD24"/>
    <mergeCell ref="AE22:AE24"/>
    <mergeCell ref="AF22:AF24"/>
    <mergeCell ref="AD6:AD9"/>
    <mergeCell ref="AE6:AE9"/>
    <mergeCell ref="AF6:AF9"/>
    <mergeCell ref="Y16:Y18"/>
    <mergeCell ref="Z16:Z18"/>
    <mergeCell ref="AA16:AA18"/>
    <mergeCell ref="AB16:AB18"/>
    <mergeCell ref="AC16:AC18"/>
    <mergeCell ref="AD16:AD18"/>
    <mergeCell ref="AE16:AE18"/>
    <mergeCell ref="AF16:AF18"/>
    <mergeCell ref="Y6:Y9"/>
    <mergeCell ref="Z6:Z9"/>
    <mergeCell ref="AA6:AA9"/>
    <mergeCell ref="AB6:AB9"/>
    <mergeCell ref="AC6:AC9"/>
    <mergeCell ref="AD19:AD21"/>
    <mergeCell ref="AE19:AE21"/>
    <mergeCell ref="AF19:AF21"/>
    <mergeCell ref="AC13:AC15"/>
    <mergeCell ref="AD13:AD15"/>
    <mergeCell ref="O22:O24"/>
    <mergeCell ref="P22:P24"/>
    <mergeCell ref="Q22:Q24"/>
    <mergeCell ref="R22:R24"/>
    <mergeCell ref="S22:S24"/>
    <mergeCell ref="T22:T24"/>
    <mergeCell ref="U22:U24"/>
    <mergeCell ref="V22:V24"/>
    <mergeCell ref="W22:W24"/>
    <mergeCell ref="X22:X24"/>
    <mergeCell ref="Y22:Y24"/>
    <mergeCell ref="Z22:Z24"/>
    <mergeCell ref="AA22:AA24"/>
    <mergeCell ref="Y19:Y21"/>
    <mergeCell ref="Z19:Z21"/>
    <mergeCell ref="AA19:AA21"/>
    <mergeCell ref="AB19:AB21"/>
    <mergeCell ref="AC19:AC21"/>
    <mergeCell ref="AB22:AB24"/>
    <mergeCell ref="AC22:AC24"/>
    <mergeCell ref="T19:T21"/>
    <mergeCell ref="U19:U21"/>
    <mergeCell ref="V19:V21"/>
    <mergeCell ref="W19:W21"/>
    <mergeCell ref="X19:X21"/>
    <mergeCell ref="O19:O21"/>
    <mergeCell ref="P19:P21"/>
    <mergeCell ref="Q19:Q21"/>
    <mergeCell ref="R19:R21"/>
    <mergeCell ref="S19:S21"/>
    <mergeCell ref="AE13:AE15"/>
    <mergeCell ref="AF13:AF15"/>
    <mergeCell ref="O16:O18"/>
    <mergeCell ref="P16:P18"/>
    <mergeCell ref="Q16:Q18"/>
    <mergeCell ref="R16:R18"/>
    <mergeCell ref="S16:S18"/>
    <mergeCell ref="T16:T18"/>
    <mergeCell ref="U16:U18"/>
    <mergeCell ref="V16:V18"/>
    <mergeCell ref="W16:W18"/>
    <mergeCell ref="X16:X18"/>
    <mergeCell ref="X13:X15"/>
    <mergeCell ref="Y13:Y15"/>
    <mergeCell ref="Z13:Z15"/>
    <mergeCell ref="AA13:AA15"/>
    <mergeCell ref="AB13:AB15"/>
    <mergeCell ref="U6:U9"/>
    <mergeCell ref="V6:V9"/>
    <mergeCell ref="W6:W9"/>
    <mergeCell ref="O13:O15"/>
    <mergeCell ref="P13:P15"/>
    <mergeCell ref="Q13:Q15"/>
    <mergeCell ref="R13:R15"/>
    <mergeCell ref="S13:S15"/>
    <mergeCell ref="T13:T15"/>
    <mergeCell ref="U13:U15"/>
    <mergeCell ref="V13:V15"/>
    <mergeCell ref="W13:W15"/>
    <mergeCell ref="P6:P9"/>
    <mergeCell ref="Q6:Q9"/>
    <mergeCell ref="R6:R9"/>
    <mergeCell ref="S6:S9"/>
    <mergeCell ref="T6:T9"/>
    <mergeCell ref="L16:L18"/>
    <mergeCell ref="M16:M18"/>
    <mergeCell ref="N16:N18"/>
    <mergeCell ref="F19:F21"/>
    <mergeCell ref="G19:G21"/>
    <mergeCell ref="H19:H21"/>
    <mergeCell ref="I19:I21"/>
    <mergeCell ref="G16:G18"/>
    <mergeCell ref="H16:H18"/>
    <mergeCell ref="I16:I18"/>
    <mergeCell ref="J16:J18"/>
    <mergeCell ref="K16:K18"/>
    <mergeCell ref="G22:G24"/>
    <mergeCell ref="H22:H24"/>
    <mergeCell ref="I22:I24"/>
    <mergeCell ref="J22:J24"/>
    <mergeCell ref="K22:K24"/>
    <mergeCell ref="L22:L24"/>
    <mergeCell ref="M22:M24"/>
    <mergeCell ref="N22:N24"/>
    <mergeCell ref="J19:J21"/>
    <mergeCell ref="K19:K21"/>
    <mergeCell ref="L19:L21"/>
    <mergeCell ref="M19:M21"/>
    <mergeCell ref="N19:N21"/>
    <mergeCell ref="AJ32:AJ33"/>
    <mergeCell ref="F32:F33"/>
    <mergeCell ref="F6:F9"/>
    <mergeCell ref="O6:O9"/>
    <mergeCell ref="X6:X9"/>
    <mergeCell ref="F13:F15"/>
    <mergeCell ref="G13:G15"/>
    <mergeCell ref="H13:H15"/>
    <mergeCell ref="I13:I15"/>
    <mergeCell ref="J13:J15"/>
    <mergeCell ref="K13:K15"/>
    <mergeCell ref="L13:L15"/>
    <mergeCell ref="M13:M15"/>
    <mergeCell ref="N13:N15"/>
    <mergeCell ref="F16:F18"/>
    <mergeCell ref="G6:G9"/>
    <mergeCell ref="M6:M9"/>
    <mergeCell ref="N6:N9"/>
    <mergeCell ref="H6:H9"/>
    <mergeCell ref="I6:I9"/>
    <mergeCell ref="J6:J9"/>
    <mergeCell ref="K6:K9"/>
    <mergeCell ref="L6:L9"/>
    <mergeCell ref="F22:F24"/>
  </mergeCells>
  <printOptions horizontalCentered="1"/>
  <pageMargins left="0.70866141732283472" right="0.70866141732283472" top="0.78740157480314965" bottom="0.78740157480314965"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8"/>
  <sheetViews>
    <sheetView showGridLines="0" zoomScale="75" zoomScaleNormal="75" workbookViewId="0">
      <pane xSplit="5" ySplit="5" topLeftCell="F6" activePane="bottomRight" state="frozen"/>
      <selection pane="topRight" activeCell="F1" sqref="F1"/>
      <selection pane="bottomLeft" activeCell="A6" sqref="A6"/>
      <selection pane="bottomRight" activeCell="O26" sqref="O26:O28"/>
    </sheetView>
  </sheetViews>
  <sheetFormatPr baseColWidth="10" defaultRowHeight="21" x14ac:dyDescent="0.25"/>
  <cols>
    <col min="1" max="1" width="5.7109375" style="2" customWidth="1"/>
    <col min="2" max="2" width="33.85546875" style="2" customWidth="1"/>
    <col min="3" max="3" width="9.42578125" style="2" customWidth="1"/>
    <col min="4" max="4" width="20.42578125" style="2" customWidth="1"/>
    <col min="5" max="5" width="16.7109375" style="62" customWidth="1"/>
    <col min="6" max="14" width="13.7109375" style="116" customWidth="1"/>
    <col min="15" max="23" width="15.85546875" style="116" customWidth="1"/>
    <col min="24" max="24" width="10.7109375" style="116" customWidth="1"/>
    <col min="25" max="32" width="13.7109375" style="116" customWidth="1"/>
    <col min="33" max="33" width="56.7109375" style="2" customWidth="1"/>
    <col min="34" max="34" width="11.42578125" style="2"/>
    <col min="35" max="35" width="11.7109375" style="2" bestFit="1" customWidth="1"/>
    <col min="36" max="16384" width="11.42578125" style="2"/>
  </cols>
  <sheetData>
    <row r="1" spans="1:33" s="1" customFormat="1" ht="30" customHeight="1" thickBot="1" x14ac:dyDescent="0.3">
      <c r="B1" s="12" t="s">
        <v>10</v>
      </c>
      <c r="C1" s="5" t="s">
        <v>11</v>
      </c>
      <c r="D1" s="5" t="s">
        <v>12</v>
      </c>
      <c r="E1" s="64" t="s">
        <v>4</v>
      </c>
      <c r="F1" s="117" t="s">
        <v>4</v>
      </c>
      <c r="G1" s="117" t="s">
        <v>4</v>
      </c>
      <c r="H1" s="117" t="s">
        <v>4</v>
      </c>
      <c r="I1" s="117" t="s">
        <v>4</v>
      </c>
      <c r="J1" s="117" t="s">
        <v>4</v>
      </c>
      <c r="K1" s="117" t="s">
        <v>4</v>
      </c>
      <c r="L1" s="117" t="s">
        <v>4</v>
      </c>
      <c r="M1" s="117" t="s">
        <v>4</v>
      </c>
      <c r="N1" s="117" t="s">
        <v>4</v>
      </c>
      <c r="O1" s="297" t="s">
        <v>4</v>
      </c>
      <c r="P1" s="297" t="s">
        <v>4</v>
      </c>
      <c r="Q1" s="297" t="s">
        <v>4</v>
      </c>
      <c r="R1" s="297" t="s">
        <v>4</v>
      </c>
      <c r="S1" s="297" t="s">
        <v>4</v>
      </c>
      <c r="T1" s="297" t="s">
        <v>4</v>
      </c>
      <c r="U1" s="297" t="s">
        <v>4</v>
      </c>
      <c r="V1" s="297" t="s">
        <v>4</v>
      </c>
      <c r="W1" s="297" t="s">
        <v>4</v>
      </c>
      <c r="X1" s="117" t="s">
        <v>4</v>
      </c>
      <c r="Y1" s="117" t="s">
        <v>4</v>
      </c>
      <c r="Z1" s="117" t="s">
        <v>4</v>
      </c>
      <c r="AA1" s="117" t="s">
        <v>4</v>
      </c>
      <c r="AB1" s="117" t="s">
        <v>4</v>
      </c>
      <c r="AC1" s="117" t="s">
        <v>4</v>
      </c>
      <c r="AD1" s="117" t="s">
        <v>4</v>
      </c>
      <c r="AE1" s="117" t="s">
        <v>4</v>
      </c>
      <c r="AF1" s="117" t="s">
        <v>4</v>
      </c>
      <c r="AG1" s="1" t="s">
        <v>141</v>
      </c>
    </row>
    <row r="2" spans="1:33" s="1" customFormat="1" ht="15" x14ac:dyDescent="0.25">
      <c r="B2" s="14" t="s">
        <v>0</v>
      </c>
      <c r="C2" s="23"/>
      <c r="D2" s="23"/>
      <c r="E2" s="159" t="s">
        <v>2</v>
      </c>
      <c r="F2" s="24" t="s">
        <v>2</v>
      </c>
      <c r="G2" s="24" t="s">
        <v>2</v>
      </c>
      <c r="H2" s="24" t="s">
        <v>2</v>
      </c>
      <c r="I2" s="24" t="s">
        <v>2</v>
      </c>
      <c r="J2" s="24" t="s">
        <v>2</v>
      </c>
      <c r="K2" s="24" t="s">
        <v>2</v>
      </c>
      <c r="L2" s="24" t="s">
        <v>2</v>
      </c>
      <c r="M2" s="24" t="s">
        <v>2</v>
      </c>
      <c r="N2" s="24" t="s">
        <v>2</v>
      </c>
      <c r="O2" s="298" t="s">
        <v>2</v>
      </c>
      <c r="P2" s="298" t="s">
        <v>2</v>
      </c>
      <c r="Q2" s="298" t="s">
        <v>2</v>
      </c>
      <c r="R2" s="298" t="s">
        <v>2</v>
      </c>
      <c r="S2" s="298" t="s">
        <v>2</v>
      </c>
      <c r="T2" s="298" t="s">
        <v>2</v>
      </c>
      <c r="U2" s="298" t="s">
        <v>2</v>
      </c>
      <c r="V2" s="298" t="s">
        <v>2</v>
      </c>
      <c r="W2" s="298" t="s">
        <v>2</v>
      </c>
      <c r="X2" s="24" t="s">
        <v>2</v>
      </c>
      <c r="Y2" s="24" t="s">
        <v>2</v>
      </c>
      <c r="Z2" s="24" t="s">
        <v>2</v>
      </c>
      <c r="AA2" s="24" t="s">
        <v>2</v>
      </c>
      <c r="AB2" s="24" t="s">
        <v>2</v>
      </c>
      <c r="AC2" s="24" t="s">
        <v>2</v>
      </c>
      <c r="AD2" s="24" t="s">
        <v>2</v>
      </c>
      <c r="AE2" s="24" t="s">
        <v>2</v>
      </c>
      <c r="AF2" s="24" t="s">
        <v>2</v>
      </c>
    </row>
    <row r="3" spans="1:33" s="1" customFormat="1" ht="30" x14ac:dyDescent="0.25">
      <c r="B3" s="26"/>
      <c r="C3" s="52"/>
      <c r="D3" s="52"/>
      <c r="E3" s="161"/>
      <c r="F3" s="128" t="s">
        <v>24</v>
      </c>
      <c r="G3" s="128" t="s">
        <v>24</v>
      </c>
      <c r="H3" s="128" t="s">
        <v>24</v>
      </c>
      <c r="I3" s="128" t="s">
        <v>24</v>
      </c>
      <c r="J3" s="128" t="s">
        <v>24</v>
      </c>
      <c r="K3" s="128" t="s">
        <v>24</v>
      </c>
      <c r="L3" s="128" t="s">
        <v>24</v>
      </c>
      <c r="M3" s="128" t="s">
        <v>24</v>
      </c>
      <c r="N3" s="128" t="s">
        <v>24</v>
      </c>
      <c r="O3" s="299" t="s">
        <v>131</v>
      </c>
      <c r="P3" s="299" t="s">
        <v>131</v>
      </c>
      <c r="Q3" s="299" t="s">
        <v>131</v>
      </c>
      <c r="R3" s="299" t="s">
        <v>131</v>
      </c>
      <c r="S3" s="299" t="s">
        <v>131</v>
      </c>
      <c r="T3" s="299" t="s">
        <v>131</v>
      </c>
      <c r="U3" s="299" t="s">
        <v>131</v>
      </c>
      <c r="V3" s="299" t="s">
        <v>131</v>
      </c>
      <c r="W3" s="299" t="s">
        <v>131</v>
      </c>
      <c r="X3" s="128" t="s">
        <v>26</v>
      </c>
      <c r="Y3" s="128" t="s">
        <v>26</v>
      </c>
      <c r="Z3" s="128" t="s">
        <v>26</v>
      </c>
      <c r="AA3" s="128" t="s">
        <v>26</v>
      </c>
      <c r="AB3" s="128" t="s">
        <v>26</v>
      </c>
      <c r="AC3" s="128" t="s">
        <v>26</v>
      </c>
      <c r="AD3" s="128" t="s">
        <v>26</v>
      </c>
      <c r="AE3" s="128" t="s">
        <v>26</v>
      </c>
      <c r="AF3" s="128" t="s">
        <v>26</v>
      </c>
    </row>
    <row r="4" spans="1:33" s="1" customFormat="1" ht="15" x14ac:dyDescent="0.25">
      <c r="B4" s="26" t="s">
        <v>93</v>
      </c>
      <c r="C4" s="52"/>
      <c r="D4" s="52"/>
      <c r="E4" s="161"/>
      <c r="F4" s="200">
        <v>20</v>
      </c>
      <c r="G4" s="200">
        <v>40</v>
      </c>
      <c r="H4" s="200">
        <v>60</v>
      </c>
      <c r="I4" s="200">
        <v>100</v>
      </c>
      <c r="J4" s="200">
        <v>150</v>
      </c>
      <c r="K4" s="200">
        <v>200</v>
      </c>
      <c r="L4" s="200">
        <v>250</v>
      </c>
      <c r="M4" s="200">
        <v>300</v>
      </c>
      <c r="N4" s="200">
        <v>350</v>
      </c>
      <c r="O4" s="299">
        <v>20</v>
      </c>
      <c r="P4" s="299">
        <v>40</v>
      </c>
      <c r="Q4" s="299">
        <v>60</v>
      </c>
      <c r="R4" s="299">
        <v>100</v>
      </c>
      <c r="S4" s="299">
        <v>150</v>
      </c>
      <c r="T4" s="299">
        <v>200</v>
      </c>
      <c r="U4" s="299">
        <v>250</v>
      </c>
      <c r="V4" s="299">
        <v>300</v>
      </c>
      <c r="W4" s="299">
        <v>350</v>
      </c>
      <c r="X4" s="200">
        <v>20</v>
      </c>
      <c r="Y4" s="200">
        <v>40</v>
      </c>
      <c r="Z4" s="200">
        <v>60</v>
      </c>
      <c r="AA4" s="200">
        <v>100</v>
      </c>
      <c r="AB4" s="200">
        <v>150</v>
      </c>
      <c r="AC4" s="200">
        <v>200</v>
      </c>
      <c r="AD4" s="200">
        <v>250</v>
      </c>
      <c r="AE4" s="200">
        <v>300</v>
      </c>
      <c r="AF4" s="200">
        <v>350</v>
      </c>
    </row>
    <row r="5" spans="1:33" s="1" customFormat="1" ht="21.75" thickBot="1" x14ac:dyDescent="0.3">
      <c r="B5" s="13" t="s">
        <v>13</v>
      </c>
      <c r="C5" s="11"/>
      <c r="D5" s="11"/>
      <c r="E5" s="162">
        <v>2.274</v>
      </c>
      <c r="F5" s="201">
        <f>E5</f>
        <v>2.274</v>
      </c>
      <c r="G5" s="201">
        <f t="shared" ref="G5:AF5" si="0">F5</f>
        <v>2.274</v>
      </c>
      <c r="H5" s="201">
        <f t="shared" si="0"/>
        <v>2.274</v>
      </c>
      <c r="I5" s="201">
        <f t="shared" si="0"/>
        <v>2.274</v>
      </c>
      <c r="J5" s="201">
        <f t="shared" si="0"/>
        <v>2.274</v>
      </c>
      <c r="K5" s="201">
        <f t="shared" si="0"/>
        <v>2.274</v>
      </c>
      <c r="L5" s="201">
        <f t="shared" si="0"/>
        <v>2.274</v>
      </c>
      <c r="M5" s="201">
        <f t="shared" si="0"/>
        <v>2.274</v>
      </c>
      <c r="N5" s="201">
        <f t="shared" si="0"/>
        <v>2.274</v>
      </c>
      <c r="O5" s="201">
        <f t="shared" si="0"/>
        <v>2.274</v>
      </c>
      <c r="P5" s="201">
        <f t="shared" si="0"/>
        <v>2.274</v>
      </c>
      <c r="Q5" s="201">
        <f t="shared" si="0"/>
        <v>2.274</v>
      </c>
      <c r="R5" s="201">
        <f t="shared" si="0"/>
        <v>2.274</v>
      </c>
      <c r="S5" s="201">
        <f t="shared" si="0"/>
        <v>2.274</v>
      </c>
      <c r="T5" s="201">
        <f t="shared" si="0"/>
        <v>2.274</v>
      </c>
      <c r="U5" s="201">
        <f t="shared" si="0"/>
        <v>2.274</v>
      </c>
      <c r="V5" s="201">
        <f t="shared" si="0"/>
        <v>2.274</v>
      </c>
      <c r="W5" s="201">
        <f t="shared" si="0"/>
        <v>2.274</v>
      </c>
      <c r="X5" s="201">
        <f t="shared" si="0"/>
        <v>2.274</v>
      </c>
      <c r="Y5" s="201">
        <f t="shared" si="0"/>
        <v>2.274</v>
      </c>
      <c r="Z5" s="201">
        <f t="shared" si="0"/>
        <v>2.274</v>
      </c>
      <c r="AA5" s="201">
        <f t="shared" si="0"/>
        <v>2.274</v>
      </c>
      <c r="AB5" s="201">
        <f t="shared" si="0"/>
        <v>2.274</v>
      </c>
      <c r="AC5" s="201">
        <f t="shared" si="0"/>
        <v>2.274</v>
      </c>
      <c r="AD5" s="201">
        <f t="shared" si="0"/>
        <v>2.274</v>
      </c>
      <c r="AE5" s="201">
        <f t="shared" si="0"/>
        <v>2.274</v>
      </c>
      <c r="AF5" s="201">
        <f t="shared" si="0"/>
        <v>2.274</v>
      </c>
      <c r="AG5" s="300" t="s">
        <v>142</v>
      </c>
    </row>
    <row r="6" spans="1:33" ht="15.75" customHeight="1" x14ac:dyDescent="0.25">
      <c r="A6" s="124">
        <v>1</v>
      </c>
      <c r="B6" s="191" t="s">
        <v>14</v>
      </c>
      <c r="C6" s="191"/>
      <c r="D6" s="191" t="s">
        <v>75</v>
      </c>
      <c r="E6" s="163">
        <v>-1.9990000000000001</v>
      </c>
      <c r="F6" s="480">
        <f>INDEX($E$6:$E$9,MATCH('TMR 1. Lakt.'!$C$4,'F5'!$A$6:$A$9,0),1)</f>
        <v>-1.9990000000000001</v>
      </c>
      <c r="G6" s="480">
        <f>INDEX($E$6:$E$9,MATCH('TMR 1. Lakt.'!$C$4,'F5'!$A$6:$A$9,0),1)</f>
        <v>-1.9990000000000001</v>
      </c>
      <c r="H6" s="480">
        <f>INDEX($E$6:$E$9,MATCH('TMR 1. Lakt.'!$C$4,'F5'!$A$6:$A$9,0),1)</f>
        <v>-1.9990000000000001</v>
      </c>
      <c r="I6" s="480">
        <f>INDEX($E$6:$E$9,MATCH('TMR 1. Lakt.'!$C$4,'F5'!$A$6:$A$9,0),1)</f>
        <v>-1.9990000000000001</v>
      </c>
      <c r="J6" s="480">
        <f>INDEX($E$6:$E$9,MATCH('TMR 1. Lakt.'!$C$4,'F5'!$A$6:$A$9,0),1)</f>
        <v>-1.9990000000000001</v>
      </c>
      <c r="K6" s="480">
        <f>INDEX($E$6:$E$9,MATCH('TMR 1. Lakt.'!$C$4,'F5'!$A$6:$A$9,0),1)</f>
        <v>-1.9990000000000001</v>
      </c>
      <c r="L6" s="480">
        <f>INDEX($E$6:$E$9,MATCH('TMR 1. Lakt.'!$C$4,'F5'!$A$6:$A$9,0),1)</f>
        <v>-1.9990000000000001</v>
      </c>
      <c r="M6" s="480">
        <f>INDEX($E$6:$E$9,MATCH('TMR 1. Lakt.'!$C$4,'F5'!$A$6:$A$9,0),1)</f>
        <v>-1.9990000000000001</v>
      </c>
      <c r="N6" s="480">
        <f>INDEX($E$6:$E$9,MATCH('TMR 1. Lakt.'!$C$4,'F5'!$A$6:$A$9,0),1)</f>
        <v>-1.9990000000000001</v>
      </c>
      <c r="O6" s="480">
        <f>INDEX($E$6:$E$9,MATCH('TMR 2. Lakt.'!$C$4,'F5'!$A$6:$A$9,0),1)</f>
        <v>-0.89800000000000002</v>
      </c>
      <c r="P6" s="480">
        <f>INDEX($E$6:$E$9,MATCH('TMR 2. Lakt.'!$C$4,'F5'!$A$6:$A$9,0),1)</f>
        <v>-0.89800000000000002</v>
      </c>
      <c r="Q6" s="480">
        <f>INDEX($E$6:$E$9,MATCH('TMR 2. Lakt.'!$C$4,'F5'!$A$6:$A$9,0),1)</f>
        <v>-0.89800000000000002</v>
      </c>
      <c r="R6" s="480">
        <f>INDEX($E$6:$E$9,MATCH('TMR 2. Lakt.'!$C$4,'F5'!$A$6:$A$9,0),1)</f>
        <v>-0.89800000000000002</v>
      </c>
      <c r="S6" s="480">
        <f>INDEX($E$6:$E$9,MATCH('TMR 2. Lakt.'!$C$4,'F5'!$A$6:$A$9,0),1)</f>
        <v>-0.89800000000000002</v>
      </c>
      <c r="T6" s="480">
        <f>INDEX($E$6:$E$9,MATCH('TMR 2. Lakt.'!$C$4,'F5'!$A$6:$A$9,0),1)</f>
        <v>-0.89800000000000002</v>
      </c>
      <c r="U6" s="480">
        <f>INDEX($E$6:$E$9,MATCH('TMR 2. Lakt.'!$C$4,'F5'!$A$6:$A$9,0),1)</f>
        <v>-0.89800000000000002</v>
      </c>
      <c r="V6" s="480">
        <f>INDEX($E$6:$E$9,MATCH('TMR 2. Lakt.'!$C$4,'F5'!$A$6:$A$9,0),1)</f>
        <v>-0.89800000000000002</v>
      </c>
      <c r="W6" s="480">
        <f>INDEX($E$6:$E$9,MATCH('TMR 2. Lakt.'!$C$4,'F5'!$A$6:$A$9,0),1)</f>
        <v>-0.89800000000000002</v>
      </c>
      <c r="X6" s="480">
        <f>INDEX($E$6:$E$9,MATCH('TMR ab 4. Lakt.'!$C$4,'F5'!$A$6:$A$9,0),1)</f>
        <v>-2.169</v>
      </c>
      <c r="Y6" s="480">
        <f>INDEX($E$6:$E$9,MATCH('TMR ab 4. Lakt.'!$C$4,'F5'!$A$6:$A$9,0),1)</f>
        <v>-2.169</v>
      </c>
      <c r="Z6" s="480">
        <f>INDEX($E$6:$E$9,MATCH('TMR ab 4. Lakt.'!$C$4,'F5'!$A$6:$A$9,0),1)</f>
        <v>-2.169</v>
      </c>
      <c r="AA6" s="480">
        <f>INDEX($E$6:$E$9,MATCH('TMR ab 4. Lakt.'!$C$4,'F5'!$A$6:$A$9,0),1)</f>
        <v>-2.169</v>
      </c>
      <c r="AB6" s="480">
        <f>INDEX($E$6:$E$9,MATCH('TMR ab 4. Lakt.'!$C$4,'F5'!$A$6:$A$9,0),1)</f>
        <v>-2.169</v>
      </c>
      <c r="AC6" s="480">
        <f>INDEX($E$6:$E$9,MATCH('TMR ab 4. Lakt.'!$C$4,'F5'!$A$6:$A$9,0),1)</f>
        <v>-2.169</v>
      </c>
      <c r="AD6" s="480">
        <f>INDEX($E$6:$E$9,MATCH('TMR ab 4. Lakt.'!$C$4,'F5'!$A$6:$A$9,0),1)</f>
        <v>-2.169</v>
      </c>
      <c r="AE6" s="480">
        <f>INDEX($E$6:$E$9,MATCH('TMR ab 4. Lakt.'!$C$4,'F5'!$A$6:$A$9,0),1)</f>
        <v>-2.169</v>
      </c>
      <c r="AF6" s="480">
        <f>INDEX($E$6:$E$9,MATCH('TMR ab 4. Lakt.'!$C$4,'F5'!$A$6:$A$9,0),1)</f>
        <v>-2.169</v>
      </c>
      <c r="AG6" s="300"/>
    </row>
    <row r="7" spans="1:33" ht="15.75" customHeight="1" x14ac:dyDescent="0.25">
      <c r="A7" s="124">
        <v>2</v>
      </c>
      <c r="B7" s="192" t="s">
        <v>14</v>
      </c>
      <c r="C7" s="192"/>
      <c r="D7" s="192" t="s">
        <v>76</v>
      </c>
      <c r="E7" s="68">
        <v>-0.89800000000000002</v>
      </c>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300"/>
    </row>
    <row r="8" spans="1:33" ht="21" customHeight="1" x14ac:dyDescent="0.25">
      <c r="A8" s="124">
        <v>3</v>
      </c>
      <c r="B8" s="192" t="s">
        <v>14</v>
      </c>
      <c r="C8" s="192"/>
      <c r="D8" s="192" t="s">
        <v>16</v>
      </c>
      <c r="E8" s="68">
        <v>-2.169</v>
      </c>
      <c r="F8" s="481"/>
      <c r="G8" s="481"/>
      <c r="H8" s="481"/>
      <c r="I8" s="481"/>
      <c r="J8" s="481"/>
      <c r="K8" s="481"/>
      <c r="L8" s="481"/>
      <c r="M8" s="481"/>
      <c r="N8" s="481"/>
      <c r="O8" s="481"/>
      <c r="P8" s="481"/>
      <c r="Q8" s="481"/>
      <c r="R8" s="481"/>
      <c r="S8" s="481"/>
      <c r="T8" s="481"/>
      <c r="U8" s="481"/>
      <c r="V8" s="481"/>
      <c r="W8" s="481"/>
      <c r="X8" s="481"/>
      <c r="Y8" s="481"/>
      <c r="Z8" s="481"/>
      <c r="AA8" s="481"/>
      <c r="AB8" s="481"/>
      <c r="AC8" s="481"/>
      <c r="AD8" s="481"/>
      <c r="AE8" s="481"/>
      <c r="AF8" s="481"/>
      <c r="AG8" s="313" t="s">
        <v>143</v>
      </c>
    </row>
    <row r="9" spans="1:33" ht="21.75" customHeight="1" thickBot="1" x14ac:dyDescent="0.3">
      <c r="A9" s="124">
        <v>4</v>
      </c>
      <c r="B9" s="193" t="s">
        <v>14</v>
      </c>
      <c r="C9" s="193"/>
      <c r="D9" s="193" t="s">
        <v>15</v>
      </c>
      <c r="E9" s="162">
        <v>-1.391</v>
      </c>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300"/>
    </row>
    <row r="10" spans="1:33" x14ac:dyDescent="0.25">
      <c r="B10" s="125" t="s">
        <v>17</v>
      </c>
      <c r="C10" s="51" t="s">
        <v>18</v>
      </c>
      <c r="D10" s="51" t="s">
        <v>24</v>
      </c>
      <c r="E10" s="163">
        <v>-0.65800000000000003</v>
      </c>
      <c r="F10" s="301">
        <f>$E$10</f>
        <v>-0.65800000000000003</v>
      </c>
      <c r="G10" s="301">
        <f t="shared" ref="G10:N10" si="1">$E$10</f>
        <v>-0.65800000000000003</v>
      </c>
      <c r="H10" s="301">
        <f t="shared" si="1"/>
        <v>-0.65800000000000003</v>
      </c>
      <c r="I10" s="301">
        <f t="shared" si="1"/>
        <v>-0.65800000000000003</v>
      </c>
      <c r="J10" s="301">
        <f t="shared" si="1"/>
        <v>-0.65800000000000003</v>
      </c>
      <c r="K10" s="301">
        <f t="shared" si="1"/>
        <v>-0.65800000000000003</v>
      </c>
      <c r="L10" s="301">
        <f t="shared" si="1"/>
        <v>-0.65800000000000003</v>
      </c>
      <c r="M10" s="301">
        <f t="shared" si="1"/>
        <v>-0.65800000000000003</v>
      </c>
      <c r="N10" s="301">
        <f t="shared" si="1"/>
        <v>-0.65800000000000003</v>
      </c>
      <c r="O10" s="293"/>
      <c r="P10" s="293"/>
      <c r="Q10" s="293"/>
      <c r="R10" s="293"/>
      <c r="S10" s="293"/>
      <c r="T10" s="293"/>
      <c r="U10" s="293"/>
      <c r="V10" s="293"/>
      <c r="W10" s="293"/>
      <c r="X10" s="293"/>
      <c r="Y10" s="293"/>
      <c r="Z10" s="293"/>
      <c r="AA10" s="293"/>
      <c r="AB10" s="293"/>
      <c r="AC10" s="293"/>
      <c r="AD10" s="293"/>
      <c r="AE10" s="293"/>
      <c r="AF10" s="293"/>
      <c r="AG10" s="300"/>
    </row>
    <row r="11" spans="1:33" x14ac:dyDescent="0.25">
      <c r="B11" s="12"/>
      <c r="C11" s="5"/>
      <c r="D11" s="53" t="s">
        <v>25</v>
      </c>
      <c r="E11" s="68">
        <v>0.23599999999999999</v>
      </c>
      <c r="G11" s="203"/>
      <c r="H11" s="203"/>
      <c r="I11" s="203"/>
      <c r="J11" s="203"/>
      <c r="K11" s="203"/>
      <c r="L11" s="203"/>
      <c r="M11" s="203"/>
      <c r="N11" s="203"/>
      <c r="O11" s="301">
        <f>$E$11</f>
        <v>0.23599999999999999</v>
      </c>
      <c r="P11" s="301">
        <f t="shared" ref="P11:W11" si="2">$E$11</f>
        <v>0.23599999999999999</v>
      </c>
      <c r="Q11" s="301">
        <f t="shared" si="2"/>
        <v>0.23599999999999999</v>
      </c>
      <c r="R11" s="301">
        <f t="shared" si="2"/>
        <v>0.23599999999999999</v>
      </c>
      <c r="S11" s="301">
        <f t="shared" si="2"/>
        <v>0.23599999999999999</v>
      </c>
      <c r="T11" s="301">
        <f t="shared" si="2"/>
        <v>0.23599999999999999</v>
      </c>
      <c r="U11" s="301">
        <f t="shared" si="2"/>
        <v>0.23599999999999999</v>
      </c>
      <c r="V11" s="301">
        <f t="shared" si="2"/>
        <v>0.23599999999999999</v>
      </c>
      <c r="W11" s="301">
        <f t="shared" si="2"/>
        <v>0.23599999999999999</v>
      </c>
      <c r="X11" s="293"/>
      <c r="Y11" s="293"/>
      <c r="Z11" s="293"/>
      <c r="AA11" s="293"/>
      <c r="AB11" s="293"/>
      <c r="AC11" s="293"/>
      <c r="AD11" s="293"/>
      <c r="AE11" s="293"/>
      <c r="AF11" s="293"/>
      <c r="AG11" s="313" t="s">
        <v>144</v>
      </c>
    </row>
    <row r="12" spans="1:33" ht="21.75" thickBot="1" x14ac:dyDescent="0.3">
      <c r="B12" s="13"/>
      <c r="C12" s="54"/>
      <c r="D12" s="54" t="s">
        <v>26</v>
      </c>
      <c r="E12" s="162">
        <v>0</v>
      </c>
      <c r="F12" s="204"/>
      <c r="G12" s="204"/>
      <c r="H12" s="204"/>
      <c r="I12" s="204"/>
      <c r="J12" s="204"/>
      <c r="K12" s="204"/>
      <c r="L12" s="204"/>
      <c r="M12" s="204"/>
      <c r="N12" s="204"/>
      <c r="O12" s="293"/>
      <c r="P12" s="293"/>
      <c r="Q12" s="293"/>
      <c r="R12" s="293"/>
      <c r="S12" s="293"/>
      <c r="T12" s="293"/>
      <c r="U12" s="293"/>
      <c r="V12" s="293"/>
      <c r="W12" s="293"/>
      <c r="X12" s="301">
        <f>$E$12</f>
        <v>0</v>
      </c>
      <c r="Y12" s="301">
        <f t="shared" ref="Y12:AF12" si="3">$E$12</f>
        <v>0</v>
      </c>
      <c r="Z12" s="301">
        <f t="shared" si="3"/>
        <v>0</v>
      </c>
      <c r="AA12" s="301">
        <f t="shared" si="3"/>
        <v>0</v>
      </c>
      <c r="AB12" s="301">
        <f t="shared" si="3"/>
        <v>0</v>
      </c>
      <c r="AC12" s="301">
        <f t="shared" si="3"/>
        <v>0</v>
      </c>
      <c r="AD12" s="301">
        <f t="shared" si="3"/>
        <v>0</v>
      </c>
      <c r="AE12" s="301">
        <f t="shared" si="3"/>
        <v>0</v>
      </c>
      <c r="AF12" s="301">
        <f t="shared" si="3"/>
        <v>0</v>
      </c>
      <c r="AG12" s="300"/>
    </row>
    <row r="13" spans="1:33" ht="15.75" customHeight="1" x14ac:dyDescent="0.25">
      <c r="B13" s="194" t="s">
        <v>19</v>
      </c>
      <c r="C13" s="195" t="s">
        <v>20</v>
      </c>
      <c r="D13" s="8" t="s">
        <v>22</v>
      </c>
      <c r="E13" s="165">
        <v>-5.4450000000000003</v>
      </c>
      <c r="F13" s="483">
        <f>$E$13+$E$14*(1-EXP(-$E$15*F4))</f>
        <v>-3.8153038567043915</v>
      </c>
      <c r="G13" s="483">
        <f t="shared" ref="G13:O13" si="4">$E$13+$E$14*(1-EXP(-$E$15*G4))</f>
        <v>-2.6869118884696706</v>
      </c>
      <c r="H13" s="483">
        <f t="shared" si="4"/>
        <v>-1.9056199653006094</v>
      </c>
      <c r="I13" s="483">
        <f t="shared" si="4"/>
        <v>-0.99009923691338919</v>
      </c>
      <c r="J13" s="483">
        <f t="shared" si="4"/>
        <v>-0.48332725858480607</v>
      </c>
      <c r="K13" s="483">
        <f t="shared" si="4"/>
        <v>-0.28116691643713487</v>
      </c>
      <c r="L13" s="483">
        <f t="shared" si="4"/>
        <v>-0.20052156569762669</v>
      </c>
      <c r="M13" s="483">
        <f t="shared" si="4"/>
        <v>-0.16835070307043676</v>
      </c>
      <c r="N13" s="483">
        <f t="shared" si="4"/>
        <v>-0.15551717463157377</v>
      </c>
      <c r="O13" s="483">
        <f t="shared" si="4"/>
        <v>-3.8153038567043915</v>
      </c>
      <c r="P13" s="483">
        <f t="shared" ref="P13:AF13" si="5">$E$13+$E$14*(1-EXP(-$E$15*P4))</f>
        <v>-2.6869118884696706</v>
      </c>
      <c r="Q13" s="483">
        <f t="shared" si="5"/>
        <v>-1.9056199653006094</v>
      </c>
      <c r="R13" s="483">
        <f t="shared" si="5"/>
        <v>-0.99009923691338919</v>
      </c>
      <c r="S13" s="483">
        <f t="shared" si="5"/>
        <v>-0.48332725858480607</v>
      </c>
      <c r="T13" s="483">
        <f t="shared" si="5"/>
        <v>-0.28116691643713487</v>
      </c>
      <c r="U13" s="483">
        <f t="shared" si="5"/>
        <v>-0.20052156569762669</v>
      </c>
      <c r="V13" s="483">
        <f t="shared" si="5"/>
        <v>-0.16835070307043676</v>
      </c>
      <c r="W13" s="483">
        <f t="shared" si="5"/>
        <v>-0.15551717463157377</v>
      </c>
      <c r="X13" s="483">
        <f t="shared" si="5"/>
        <v>-3.8153038567043915</v>
      </c>
      <c r="Y13" s="483">
        <f t="shared" si="5"/>
        <v>-2.6869118884696706</v>
      </c>
      <c r="Z13" s="483">
        <f t="shared" si="5"/>
        <v>-1.9056199653006094</v>
      </c>
      <c r="AA13" s="483">
        <f t="shared" si="5"/>
        <v>-0.99009923691338919</v>
      </c>
      <c r="AB13" s="483">
        <f t="shared" si="5"/>
        <v>-0.48332725858480607</v>
      </c>
      <c r="AC13" s="483">
        <f t="shared" si="5"/>
        <v>-0.28116691643713487</v>
      </c>
      <c r="AD13" s="483">
        <f t="shared" si="5"/>
        <v>-0.20052156569762669</v>
      </c>
      <c r="AE13" s="483">
        <f t="shared" si="5"/>
        <v>-0.16835070307043676</v>
      </c>
      <c r="AF13" s="483">
        <f t="shared" si="5"/>
        <v>-0.15551717463157377</v>
      </c>
      <c r="AG13" s="300"/>
    </row>
    <row r="14" spans="1:33" ht="15.75" customHeight="1" x14ac:dyDescent="0.25">
      <c r="B14" s="196" t="s">
        <v>50</v>
      </c>
      <c r="C14" s="197"/>
      <c r="D14" s="6" t="s">
        <v>23</v>
      </c>
      <c r="E14" s="68">
        <v>5.298</v>
      </c>
      <c r="F14" s="484"/>
      <c r="G14" s="484"/>
      <c r="H14" s="48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300" t="s">
        <v>145</v>
      </c>
    </row>
    <row r="15" spans="1:33" ht="16.5" customHeight="1" thickBot="1" x14ac:dyDescent="0.3">
      <c r="B15" s="198"/>
      <c r="C15" s="199"/>
      <c r="D15" s="11" t="s">
        <v>21</v>
      </c>
      <c r="E15" s="162">
        <v>1.8380000000000001E-2</v>
      </c>
      <c r="F15" s="485"/>
      <c r="G15" s="485"/>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G15" s="300"/>
    </row>
    <row r="16" spans="1:33" ht="30" x14ac:dyDescent="0.25">
      <c r="B16" s="224" t="s">
        <v>27</v>
      </c>
      <c r="C16" s="195"/>
      <c r="D16" s="8" t="s">
        <v>22</v>
      </c>
      <c r="E16" s="165">
        <v>1.7299999999999999E-2</v>
      </c>
      <c r="F16" s="489">
        <f>($E$16+$E$17*F4+$E$18*F4*F4)*'TMR 1. Lakt.'!$C$10</f>
        <v>9.9502955999999987</v>
      </c>
      <c r="G16" s="489">
        <f>($E$16+$E$17*G4+$E$18*G4*G4)*'TMR 1. Lakt.'!$C$10</f>
        <v>9.3963423999999982</v>
      </c>
      <c r="H16" s="489">
        <f>($E$16+$E$17*H4+$E$18*H4*H4)*'TMR 1. Lakt.'!$C$10</f>
        <v>8.8911403999999994</v>
      </c>
      <c r="I16" s="489">
        <f>($E$16+$E$17*I4+$E$18*I4*I4)*'TMR 1. Lakt.'!$C$10</f>
        <v>8.0269899999999996</v>
      </c>
      <c r="J16" s="489">
        <f>($E$16+$E$17*J4+$E$18*J4*J4)*'TMR 1. Lakt.'!$C$10</f>
        <v>7.2210274999999982</v>
      </c>
      <c r="K16" s="489">
        <f>($E$16+$E$17*K4+$E$18*K4*K4)*'TMR 1. Lakt.'!$C$10</f>
        <v>6.7197599999999991</v>
      </c>
      <c r="L16" s="489">
        <f>($E$16+$E$17*L4+$E$18*L4*L4)*'TMR 1. Lakt.'!$C$10</f>
        <v>6.5231874999999988</v>
      </c>
      <c r="M16" s="489">
        <f>($E$16+$E$17*M4+$E$18*M4*M4)*'TMR 1. Lakt.'!$C$10</f>
        <v>6.6313099999999983</v>
      </c>
      <c r="N16" s="489">
        <f>($E$16+$E$17*N4+$E$18*N4*N4)*'TMR 1. Lakt.'!$C$10</f>
        <v>7.0441274999999983</v>
      </c>
      <c r="O16" s="489">
        <f>($E$16+$E$17*O4+$E$18*O4*O4)*'TMR 2. Lakt.'!$C$10</f>
        <v>11.418371999999998</v>
      </c>
      <c r="P16" s="489">
        <f>($E$16+$E$17*P4+$E$18*P4*P4)*'TMR 2. Lakt.'!$C$10</f>
        <v>10.782687999999998</v>
      </c>
      <c r="Q16" s="489">
        <f>($E$16+$E$17*Q4+$E$18*Q4*Q4)*'TMR 2. Lakt.'!$C$10</f>
        <v>10.202947999999999</v>
      </c>
      <c r="R16" s="489">
        <f>($E$16+$E$17*R4+$E$18*R4*R4)*'TMR 2. Lakt.'!$C$10</f>
        <v>9.2112999999999996</v>
      </c>
      <c r="S16" s="489">
        <f>($E$16+$E$17*S4+$E$18*S4*S4)*'TMR 2. Lakt.'!$C$10</f>
        <v>8.2864249999999977</v>
      </c>
      <c r="T16" s="489">
        <f>($E$16+$E$17*T4+$E$18*T4*T4)*'TMR 2. Lakt.'!$C$10</f>
        <v>7.7111999999999989</v>
      </c>
      <c r="U16" s="489">
        <f>($E$16+$E$17*U4+$E$18*U4*U4)*'TMR 2. Lakt.'!$C$10</f>
        <v>7.4856249999999989</v>
      </c>
      <c r="V16" s="489">
        <f>($E$16+$E$17*V4+$E$18*V4*V4)*'TMR 2. Lakt.'!$C$10</f>
        <v>7.6096999999999975</v>
      </c>
      <c r="W16" s="489">
        <f>($E$16+$E$17*W4+$E$18*W4*W4)*'TMR 2. Lakt.'!$C$10</f>
        <v>8.0834249999999983</v>
      </c>
      <c r="X16" s="489">
        <f>($E$16+$E$17*X4+$E$18*X4*X4)*'TMR ab 4. Lakt.'!$C$10</f>
        <v>12.233969999999998</v>
      </c>
      <c r="Y16" s="489">
        <f>($E$16+$E$17*Y4+$E$18*Y4*Y4)*'TMR ab 4. Lakt.'!$C$10</f>
        <v>11.552879999999998</v>
      </c>
      <c r="Z16" s="489">
        <f>($E$16+$E$17*Z4+$E$18*Z4*Z4)*'TMR ab 4. Lakt.'!$C$10</f>
        <v>10.93173</v>
      </c>
      <c r="AA16" s="489">
        <f>($E$16+$E$17*AA4+$E$18*AA4*AA4)*'TMR ab 4. Lakt.'!$C$10</f>
        <v>9.8692499999999992</v>
      </c>
      <c r="AB16" s="489">
        <f>($E$16+$E$17*AB4+$E$18*AB4*AB4)*'TMR ab 4. Lakt.'!$C$10</f>
        <v>8.8783124999999981</v>
      </c>
      <c r="AC16" s="489">
        <f>($E$16+$E$17*AC4+$E$18*AC4*AC4)*'TMR ab 4. Lakt.'!$C$10</f>
        <v>8.2619999999999987</v>
      </c>
      <c r="AD16" s="489">
        <f>($E$16+$E$17*AD4+$E$18*AD4*AD4)*'TMR ab 4. Lakt.'!$C$10</f>
        <v>8.0203124999999993</v>
      </c>
      <c r="AE16" s="489">
        <f>($E$16+$E$17*AE4+$E$18*AE4*AE4)*'TMR ab 4. Lakt.'!$C$10</f>
        <v>8.1532499999999981</v>
      </c>
      <c r="AF16" s="489">
        <f>($E$16+$E$17*AF4+$E$18*AF4*AF4)*'TMR ab 4. Lakt.'!$C$10</f>
        <v>8.6608124999999987</v>
      </c>
      <c r="AG16" s="300"/>
    </row>
    <row r="17" spans="2:33" ht="18" customHeight="1" x14ac:dyDescent="0.25">
      <c r="B17" s="216" t="s">
        <v>28</v>
      </c>
      <c r="C17" s="197"/>
      <c r="D17" s="6" t="s">
        <v>29</v>
      </c>
      <c r="E17" s="68">
        <v>-5.1400000000000003E-5</v>
      </c>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313" t="s">
        <v>146</v>
      </c>
    </row>
    <row r="18" spans="2:33" ht="18.75" customHeight="1" thickBot="1" x14ac:dyDescent="0.3">
      <c r="B18" s="217"/>
      <c r="C18" s="218"/>
      <c r="D18" s="11" t="s">
        <v>30</v>
      </c>
      <c r="E18" s="166">
        <v>9.9900000000000001E-8</v>
      </c>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300"/>
    </row>
    <row r="19" spans="2:33" ht="30" x14ac:dyDescent="0.25">
      <c r="B19" s="194" t="s">
        <v>52</v>
      </c>
      <c r="C19" s="197"/>
      <c r="D19" s="8" t="s">
        <v>22</v>
      </c>
      <c r="E19" s="165">
        <v>0.20100000000000001</v>
      </c>
      <c r="F19" s="495">
        <f>($E$19+$E$20*F4+$E$21*F4*F4)*'TMR 1. Lakt.'!$C16</f>
        <v>6.9324928000000003</v>
      </c>
      <c r="G19" s="495">
        <f>($E$19+$E$20*G4+$E$21*G4*G4)*'TMR 1. Lakt.'!$C17</f>
        <v>8.0934560000000015</v>
      </c>
      <c r="H19" s="495">
        <f>($E$19+$E$20*H4+$E$21*H4*H4)*'TMR 1. Lakt.'!$C18</f>
        <v>8.5681259999999995</v>
      </c>
      <c r="I19" s="495">
        <f>($E$19+$E$20*I4+$E$21*I4*I4)*'TMR 1. Lakt.'!$C19</f>
        <v>8.87073</v>
      </c>
      <c r="J19" s="495">
        <f>($E$19+$E$20*J4+$E$21*J4*J4)*'TMR 1. Lakt.'!$C20</f>
        <v>9.3751200000000008</v>
      </c>
      <c r="K19" s="495">
        <f>($E$19+$E$20*K4+$E$21*K4*K4)*'TMR 1. Lakt.'!$C21</f>
        <v>9.3192000000000004</v>
      </c>
      <c r="L19" s="495">
        <f>($E$19+$E$20*L4+$E$21*L4*L4)*'TMR 1. Lakt.'!$C22</f>
        <v>9.0107500000000016</v>
      </c>
      <c r="M19" s="495">
        <f>($E$19+$E$20*M4+$E$21*M4*M4)*'TMR 1. Lakt.'!$C23</f>
        <v>7.8357600000000005</v>
      </c>
      <c r="N19" s="495">
        <f>($E$19+$E$20*N4+$E$21*N4*N4)*'TMR 1. Lakt.'!$C24</f>
        <v>7.1427950000000004</v>
      </c>
      <c r="O19" s="495">
        <f>($E$19+$E$20*O4+$E$21*O4*O4)*'TMR 2. Lakt.'!$C16</f>
        <v>9.748818</v>
      </c>
      <c r="P19" s="495">
        <f>($E$19+$E$20*P4+$E$21*P4*P4)*'TMR 2. Lakt.'!$C17</f>
        <v>11.0995968</v>
      </c>
      <c r="Q19" s="495">
        <f>($E$19+$E$20*Q4+$E$21*Q4*Q4)*'TMR 2. Lakt.'!$C18</f>
        <v>11.5057692</v>
      </c>
      <c r="R19" s="495">
        <f>($E$19+$E$20*R4+$E$21*R4*R4)*'TMR 2. Lakt.'!$C19</f>
        <v>11.55883</v>
      </c>
      <c r="S19" s="495">
        <f>($E$19+$E$20*S4+$E$21*S4*S4)*'TMR 2. Lakt.'!$C20</f>
        <v>11.132955000000001</v>
      </c>
      <c r="T19" s="495">
        <f>($E$19+$E$20*T4+$E$21*T4*T4)*'TMR 2. Lakt.'!$C21</f>
        <v>10.872400000000001</v>
      </c>
      <c r="U19" s="495">
        <f>($E$19+$E$20*U4+$E$21*U4*U4)*'TMR 2. Lakt.'!$C22</f>
        <v>9.6543750000000017</v>
      </c>
      <c r="V19" s="495">
        <f>($E$19+$E$20*V4+$E$21*V4*V4)*'TMR 2. Lakt.'!$C23</f>
        <v>7.8357600000000005</v>
      </c>
      <c r="W19" s="495">
        <f>($E$19+$E$20*W4+$E$21*W4*W4)*'TMR 2. Lakt.'!$C24</f>
        <v>6.8181225000000003</v>
      </c>
      <c r="X19" s="495">
        <f>($E$19+$E$20*X4+$E$21*X4*X4)*'TMR ab 4. Lakt.'!$C16</f>
        <v>9.0988968000000003</v>
      </c>
      <c r="Y19" s="495">
        <f>($E$19+$E$20*Y4+$E$21*Y4*Y4)*'TMR ab 4. Lakt.'!$C17</f>
        <v>10.174630400000002</v>
      </c>
      <c r="Z19" s="495">
        <f>($E$19+$E$20*Z4+$E$21*Z4*Z4)*'TMR ab 4. Lakt.'!$C18</f>
        <v>10.5265548</v>
      </c>
      <c r="AA19" s="495">
        <f>($E$19+$E$20*AA4+$E$21*AA4*AA4)*'TMR ab 4. Lakt.'!$C19</f>
        <v>10.48359</v>
      </c>
      <c r="AB19" s="495">
        <f>($E$19+$E$20*AB4+$E$21*AB4*AB4)*'TMR ab 4. Lakt.'!$C20</f>
        <v>10.254037500000001</v>
      </c>
      <c r="AC19" s="495">
        <f>($E$19+$E$20*AC4+$E$21*AC4*AC4)*'TMR ab 4. Lakt.'!$C21</f>
        <v>9.6298400000000015</v>
      </c>
      <c r="AD19" s="495">
        <f>($E$19+$E$20*AD4+$E$21*AD4*AD4)*'TMR ab 4. Lakt.'!$C22</f>
        <v>8.6889375000000015</v>
      </c>
      <c r="AE19" s="495">
        <f>($E$19+$E$20*AE4+$E$21*AE4*AE4)*'TMR ab 4. Lakt.'!$C23</f>
        <v>6.8562900000000004</v>
      </c>
      <c r="AF19" s="495">
        <f>($E$19+$E$20*AF4+$E$21*AF4*AF4)*'TMR ab 4. Lakt.'!$C24</f>
        <v>5.8441050000000008</v>
      </c>
      <c r="AG19" s="300"/>
    </row>
    <row r="20" spans="2:33" ht="18" customHeight="1" x14ac:dyDescent="0.25">
      <c r="B20" s="216" t="s">
        <v>28</v>
      </c>
      <c r="C20" s="197"/>
      <c r="D20" s="6" t="s">
        <v>29</v>
      </c>
      <c r="E20" s="68">
        <v>8.0800000000000002E-4</v>
      </c>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314" t="s">
        <v>147</v>
      </c>
    </row>
    <row r="21" spans="2:33" ht="18.75" customHeight="1" thickBot="1" x14ac:dyDescent="0.3">
      <c r="B21" s="302" t="s">
        <v>98</v>
      </c>
      <c r="C21" s="218"/>
      <c r="D21" s="11" t="s">
        <v>30</v>
      </c>
      <c r="E21" s="166">
        <v>-1.299E-6</v>
      </c>
      <c r="F21" s="497"/>
      <c r="G21" s="497"/>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300"/>
    </row>
    <row r="22" spans="2:33" ht="30" x14ac:dyDescent="0.25">
      <c r="B22" s="219" t="s">
        <v>31</v>
      </c>
      <c r="C22" s="220" t="s">
        <v>32</v>
      </c>
      <c r="D22" s="8" t="s">
        <v>22</v>
      </c>
      <c r="E22" s="165">
        <v>0</v>
      </c>
      <c r="F22" s="492"/>
      <c r="G22" s="492"/>
      <c r="H22" s="492"/>
      <c r="I22" s="492"/>
      <c r="J22" s="492"/>
      <c r="K22" s="492"/>
      <c r="L22" s="492"/>
      <c r="M22" s="492"/>
      <c r="N22" s="492"/>
      <c r="O22" s="294"/>
      <c r="P22" s="294"/>
      <c r="Q22" s="294"/>
      <c r="R22" s="294"/>
      <c r="S22" s="294"/>
      <c r="T22" s="294"/>
      <c r="U22" s="294"/>
      <c r="V22" s="294"/>
      <c r="W22" s="294"/>
      <c r="X22" s="294"/>
      <c r="Y22" s="294"/>
      <c r="Z22" s="294"/>
      <c r="AA22" s="294"/>
      <c r="AB22" s="294"/>
      <c r="AC22" s="294"/>
      <c r="AD22" s="294"/>
      <c r="AE22" s="294"/>
      <c r="AF22" s="294"/>
      <c r="AG22" s="300"/>
    </row>
    <row r="23" spans="2:33" ht="18" customHeight="1" x14ac:dyDescent="0.25">
      <c r="B23" s="221" t="s">
        <v>28</v>
      </c>
      <c r="C23" s="222"/>
      <c r="D23" s="6" t="s">
        <v>29</v>
      </c>
      <c r="E23" s="68">
        <v>0</v>
      </c>
      <c r="F23" s="493"/>
      <c r="G23" s="493"/>
      <c r="H23" s="493"/>
      <c r="I23" s="493"/>
      <c r="J23" s="493"/>
      <c r="K23" s="493"/>
      <c r="L23" s="493"/>
      <c r="M23" s="493"/>
      <c r="N23" s="493"/>
      <c r="O23" s="294"/>
      <c r="P23" s="294"/>
      <c r="Q23" s="294"/>
      <c r="R23" s="294"/>
      <c r="S23" s="294"/>
      <c r="T23" s="294"/>
      <c r="U23" s="294"/>
      <c r="V23" s="294"/>
      <c r="W23" s="294"/>
      <c r="X23" s="294"/>
      <c r="Y23" s="294"/>
      <c r="Z23" s="294"/>
      <c r="AA23" s="294"/>
      <c r="AB23" s="294"/>
      <c r="AC23" s="294"/>
      <c r="AD23" s="294"/>
      <c r="AE23" s="294"/>
      <c r="AF23" s="294"/>
      <c r="AG23" s="300"/>
    </row>
    <row r="24" spans="2:33" ht="18.75" customHeight="1" thickBot="1" x14ac:dyDescent="0.3">
      <c r="B24" s="225" t="s">
        <v>98</v>
      </c>
      <c r="C24" s="223"/>
      <c r="D24" s="11" t="s">
        <v>30</v>
      </c>
      <c r="E24" s="162">
        <v>0</v>
      </c>
      <c r="F24" s="494"/>
      <c r="G24" s="494"/>
      <c r="H24" s="494"/>
      <c r="I24" s="494"/>
      <c r="J24" s="494"/>
      <c r="K24" s="494"/>
      <c r="L24" s="494"/>
      <c r="M24" s="494"/>
      <c r="N24" s="494"/>
      <c r="O24" s="294"/>
      <c r="P24" s="294"/>
      <c r="Q24" s="294"/>
      <c r="R24" s="294"/>
      <c r="S24" s="294"/>
      <c r="T24" s="294"/>
      <c r="U24" s="294"/>
      <c r="V24" s="294"/>
      <c r="W24" s="294"/>
      <c r="X24" s="294"/>
      <c r="Y24" s="294"/>
      <c r="Z24" s="294"/>
      <c r="AA24" s="294"/>
      <c r="AB24" s="294"/>
      <c r="AC24" s="294"/>
      <c r="AD24" s="294"/>
      <c r="AE24" s="294"/>
      <c r="AF24" s="294"/>
      <c r="AG24" s="300"/>
    </row>
    <row r="25" spans="2:33" ht="21.75" thickBot="1" x14ac:dyDescent="0.3">
      <c r="B25" s="15" t="s">
        <v>36</v>
      </c>
      <c r="C25" s="16" t="s">
        <v>37</v>
      </c>
      <c r="D25" s="16" t="s">
        <v>33</v>
      </c>
      <c r="E25" s="168">
        <v>0.60899999999999999</v>
      </c>
      <c r="F25" s="305">
        <f>$E$25*'TMR 1. Lakt.'!$C$13</f>
        <v>3.7757999999999998</v>
      </c>
      <c r="G25" s="305">
        <f>$E$25*'TMR 1. Lakt.'!$C$13</f>
        <v>3.7757999999999998</v>
      </c>
      <c r="H25" s="305">
        <f>$E$25*'TMR 1. Lakt.'!$C$13</f>
        <v>3.7757999999999998</v>
      </c>
      <c r="I25" s="305">
        <f>$E$25*'TMR 1. Lakt.'!$C$13</f>
        <v>3.7757999999999998</v>
      </c>
      <c r="J25" s="305">
        <f>$E$25*'TMR 1. Lakt.'!$C$13</f>
        <v>3.7757999999999998</v>
      </c>
      <c r="K25" s="305">
        <f>$E$25*'TMR 1. Lakt.'!$C$13</f>
        <v>3.7757999999999998</v>
      </c>
      <c r="L25" s="305">
        <f>$E$25*'TMR 1. Lakt.'!$C$13</f>
        <v>3.7757999999999998</v>
      </c>
      <c r="M25" s="305">
        <f>$E$25*'TMR 1. Lakt.'!$C$13</f>
        <v>3.7757999999999998</v>
      </c>
      <c r="N25" s="305">
        <f>$E$25*'TMR 1. Lakt.'!$C$13</f>
        <v>3.7757999999999998</v>
      </c>
      <c r="O25" s="311">
        <f>$E$25*'TMR 2. Lakt.'!$C$13</f>
        <v>4.0803000000000003</v>
      </c>
      <c r="P25" s="311">
        <f>$E$25*'TMR 2. Lakt.'!$C$13</f>
        <v>4.0803000000000003</v>
      </c>
      <c r="Q25" s="311">
        <f>$E$25*'TMR 2. Lakt.'!$C$13</f>
        <v>4.0803000000000003</v>
      </c>
      <c r="R25" s="311">
        <f>$E$25*'TMR 2. Lakt.'!$C$13</f>
        <v>4.0803000000000003</v>
      </c>
      <c r="S25" s="311">
        <f>$E$25*'TMR 2. Lakt.'!$C$13</f>
        <v>4.0803000000000003</v>
      </c>
      <c r="T25" s="311">
        <f>$E$25*'TMR 2. Lakt.'!$C$13</f>
        <v>4.0803000000000003</v>
      </c>
      <c r="U25" s="311">
        <f>$E$25*'TMR 2. Lakt.'!$C$13</f>
        <v>4.0803000000000003</v>
      </c>
      <c r="V25" s="311">
        <f>$E$25*'TMR 2. Lakt.'!$C$13</f>
        <v>4.0803000000000003</v>
      </c>
      <c r="W25" s="311">
        <f>$E$25*'TMR 2. Lakt.'!$C$13</f>
        <v>4.0803000000000003</v>
      </c>
      <c r="X25" s="311">
        <f>$E$25*'TMR ab 4. Lakt.'!$C$13</f>
        <v>3.8367</v>
      </c>
      <c r="Y25" s="311">
        <f>$E$25*'TMR ab 4. Lakt.'!$C$13</f>
        <v>3.8367</v>
      </c>
      <c r="Z25" s="311">
        <f>$E$25*'TMR ab 4. Lakt.'!$C$13</f>
        <v>3.8367</v>
      </c>
      <c r="AA25" s="311">
        <f>$E$25*'TMR ab 4. Lakt.'!$C$13</f>
        <v>3.8367</v>
      </c>
      <c r="AB25" s="311">
        <f>$E$25*'TMR ab 4. Lakt.'!$C$13</f>
        <v>3.8367</v>
      </c>
      <c r="AC25" s="311">
        <f>$E$25*'TMR ab 4. Lakt.'!$C$13</f>
        <v>3.8367</v>
      </c>
      <c r="AD25" s="311">
        <f>$E$25*'TMR ab 4. Lakt.'!$C$13</f>
        <v>3.8367</v>
      </c>
      <c r="AE25" s="311">
        <f>$E$25*'TMR ab 4. Lakt.'!$C$13</f>
        <v>3.8367</v>
      </c>
      <c r="AF25" s="311">
        <f>$E$25*'TMR ab 4. Lakt.'!$C$13</f>
        <v>3.8367</v>
      </c>
      <c r="AG25" s="313" t="s">
        <v>148</v>
      </c>
    </row>
    <row r="26" spans="2:33" ht="30" x14ac:dyDescent="0.25">
      <c r="B26" s="7" t="s">
        <v>34</v>
      </c>
      <c r="C26" s="8" t="s">
        <v>35</v>
      </c>
      <c r="D26" s="8" t="s">
        <v>22</v>
      </c>
      <c r="E26" s="171">
        <v>6.3100000000000003E-2</v>
      </c>
      <c r="F26" s="504">
        <f>($E$26+$E$27*F4+$E$28*F4*F4)*'TMR 1. Lakt.'!$E$15</f>
        <v>2.3582608</v>
      </c>
      <c r="G26" s="507">
        <f>($E$26+$E$27*G4+$E$28*G4*G4)*'TMR 1. Lakt.'!$E$15</f>
        <v>2.1964031999999998</v>
      </c>
      <c r="H26" s="507">
        <f>($E$26+$E$27*H4+$E$28*H4*H4)*'TMR 1. Lakt.'!$E$15</f>
        <v>2.0384272000000001</v>
      </c>
      <c r="I26" s="507">
        <f>($E$26+$E$27*I4+$E$28*I4*I4)*'TMR 1. Lakt.'!$E$15</f>
        <v>1.7341200000000001</v>
      </c>
      <c r="J26" s="507">
        <f>($E$26+$E$27*J4+$E$28*J4*J4)*'TMR 1. Lakt.'!$E$15</f>
        <v>1.3755700000000002</v>
      </c>
      <c r="K26" s="507">
        <f>($E$26+$E$27*K4+$E$28*K4*K4)*'TMR 1. Lakt.'!$E$15</f>
        <v>1.0412800000000002</v>
      </c>
      <c r="L26" s="507">
        <f>($E$26+$E$27*L4+$E$28*L4*L4)*'TMR 1. Lakt.'!$E$15</f>
        <v>0.73125000000000007</v>
      </c>
      <c r="M26" s="507">
        <f>($E$26+$E$27*M4+$E$28*M4*M4)*'TMR 1. Lakt.'!$E$15</f>
        <v>0.44547999999999999</v>
      </c>
      <c r="N26" s="509">
        <f>($E$26+$E$27*N4+$E$28*N4*N4)*'TMR 1. Lakt.'!$E$15</f>
        <v>0.1839700000000003</v>
      </c>
      <c r="O26" s="501">
        <f>($E$26+$E$27*O4+$E$28*O4*O4)*'TMR 2. Lakt.'!$E$15</f>
        <v>2.3582608</v>
      </c>
      <c r="P26" s="501">
        <f>($E$26+$E$27*P4+$E$28*P4*P4)*'TMR 2. Lakt.'!$E$15</f>
        <v>2.1964031999999998</v>
      </c>
      <c r="Q26" s="501">
        <f>($E$26+$E$27*Q4+$E$28*Q4*Q4)*'TMR 2. Lakt.'!$E$15</f>
        <v>2.0384272000000001</v>
      </c>
      <c r="R26" s="501">
        <f>($E$26+$E$27*R4+$E$28*R4*R4)*'TMR 2. Lakt.'!$E$15</f>
        <v>1.7341200000000001</v>
      </c>
      <c r="S26" s="501">
        <f>($E$26+$E$27*S4+$E$28*S4*S4)*'TMR 2. Lakt.'!$E$15</f>
        <v>1.3755700000000002</v>
      </c>
      <c r="T26" s="501">
        <f>($E$26+$E$27*T4+$E$28*T4*T4)*'TMR 2. Lakt.'!$E$15</f>
        <v>1.0412800000000002</v>
      </c>
      <c r="U26" s="501">
        <f>($E$26+$E$27*U4+$E$28*U4*U4)*'TMR 2. Lakt.'!$E$15</f>
        <v>0.73125000000000007</v>
      </c>
      <c r="V26" s="501">
        <f>($E$26+$E$27*V4+$E$28*V4*V4)*'TMR 2. Lakt.'!$E$15</f>
        <v>0.44547999999999999</v>
      </c>
      <c r="W26" s="501">
        <f>($E$26+$E$27*W4+$E$28*W4*W4)*'TMR 2. Lakt.'!$E$15</f>
        <v>0.1839700000000003</v>
      </c>
      <c r="X26" s="501">
        <f>($E$26+$E$27*X4+$E$28*X4*X4)*'TMR ab 4. Lakt.'!$E$15</f>
        <v>2.6530434000000001</v>
      </c>
      <c r="Y26" s="501">
        <f>($E$26+$E$27*Y4+$E$28*Y4*Y4)*'TMR ab 4. Lakt.'!$E$15</f>
        <v>2.4709536000000001</v>
      </c>
      <c r="Z26" s="501">
        <f>($E$26+$E$27*Z4+$E$28*Z4*Z4)*'TMR ab 4. Lakt.'!$E$15</f>
        <v>2.2932306000000002</v>
      </c>
      <c r="AA26" s="501">
        <f>($E$26+$E$27*AA4+$E$28*AA4*AA4)*'TMR ab 4. Lakt.'!$E$15</f>
        <v>1.9508850000000002</v>
      </c>
      <c r="AB26" s="501">
        <f>($E$26+$E$27*AB4+$E$28*AB4*AB4)*'TMR ab 4. Lakt.'!$E$15</f>
        <v>1.5475162500000001</v>
      </c>
      <c r="AC26" s="501">
        <f>($E$26+$E$27*AC4+$E$28*AC4*AC4)*'TMR ab 4. Lakt.'!$E$15</f>
        <v>1.1714400000000003</v>
      </c>
      <c r="AD26" s="501">
        <f>($E$26+$E$27*AD4+$E$28*AD4*AD4)*'TMR ab 4. Lakt.'!$E$15</f>
        <v>0.82265625000000009</v>
      </c>
      <c r="AE26" s="501">
        <f>($E$26+$E$27*AE4+$E$28*AE4*AE4)*'TMR ab 4. Lakt.'!$E$15</f>
        <v>0.50116499999999997</v>
      </c>
      <c r="AF26" s="501">
        <f>($E$26+$E$27*AF4+$E$28*AF4*AF4)*'TMR ab 4. Lakt.'!$E$15</f>
        <v>0.20696625000000035</v>
      </c>
      <c r="AG26" s="300"/>
    </row>
    <row r="27" spans="2:33" ht="18" x14ac:dyDescent="0.25">
      <c r="B27" s="9" t="s">
        <v>28</v>
      </c>
      <c r="C27" s="6"/>
      <c r="D27" s="6" t="s">
        <v>29</v>
      </c>
      <c r="E27" s="303">
        <v>-2.096E-4</v>
      </c>
      <c r="F27" s="505"/>
      <c r="G27" s="502"/>
      <c r="H27" s="502"/>
      <c r="I27" s="502"/>
      <c r="J27" s="502"/>
      <c r="K27" s="502"/>
      <c r="L27" s="502"/>
      <c r="M27" s="502"/>
      <c r="N27" s="510"/>
      <c r="O27" s="502"/>
      <c r="P27" s="502"/>
      <c r="Q27" s="502"/>
      <c r="R27" s="502"/>
      <c r="S27" s="502"/>
      <c r="T27" s="502"/>
      <c r="U27" s="502"/>
      <c r="V27" s="502"/>
      <c r="W27" s="502"/>
      <c r="X27" s="502"/>
      <c r="Y27" s="502"/>
      <c r="Z27" s="502"/>
      <c r="AA27" s="502"/>
      <c r="AB27" s="502"/>
      <c r="AC27" s="502"/>
      <c r="AD27" s="502"/>
      <c r="AE27" s="502"/>
      <c r="AF27" s="502"/>
      <c r="AG27" s="313" t="s">
        <v>149</v>
      </c>
    </row>
    <row r="28" spans="2:33" ht="18.75" thickBot="1" x14ac:dyDescent="0.3">
      <c r="B28" s="10"/>
      <c r="C28" s="11"/>
      <c r="D28" s="11" t="s">
        <v>30</v>
      </c>
      <c r="E28" s="304">
        <v>1.2130000000000001E-7</v>
      </c>
      <c r="F28" s="506"/>
      <c r="G28" s="508"/>
      <c r="H28" s="508"/>
      <c r="I28" s="508"/>
      <c r="J28" s="508"/>
      <c r="K28" s="508"/>
      <c r="L28" s="508"/>
      <c r="M28" s="508"/>
      <c r="N28" s="511"/>
      <c r="O28" s="503"/>
      <c r="P28" s="503"/>
      <c r="Q28" s="503"/>
      <c r="R28" s="503"/>
      <c r="S28" s="503"/>
      <c r="T28" s="503"/>
      <c r="U28" s="503"/>
      <c r="V28" s="503"/>
      <c r="W28" s="503"/>
      <c r="X28" s="503"/>
      <c r="Y28" s="503"/>
      <c r="Z28" s="503"/>
      <c r="AA28" s="503"/>
      <c r="AB28" s="503"/>
      <c r="AC28" s="503"/>
      <c r="AD28" s="503"/>
      <c r="AE28" s="503"/>
      <c r="AF28" s="503"/>
      <c r="AG28" s="300"/>
    </row>
    <row r="29" spans="2:33" x14ac:dyDescent="0.25">
      <c r="B29" s="17" t="s">
        <v>38</v>
      </c>
      <c r="C29" s="20" t="s">
        <v>39</v>
      </c>
      <c r="D29" s="20" t="s">
        <v>33</v>
      </c>
      <c r="E29" s="169">
        <v>0</v>
      </c>
      <c r="F29" s="290"/>
      <c r="G29" s="290"/>
      <c r="H29" s="290"/>
      <c r="I29" s="290"/>
      <c r="J29" s="290"/>
      <c r="K29" s="290"/>
      <c r="L29" s="290"/>
      <c r="M29" s="290"/>
      <c r="N29" s="290"/>
      <c r="O29" s="295"/>
      <c r="P29" s="295"/>
      <c r="Q29" s="295"/>
      <c r="R29" s="295"/>
      <c r="S29" s="295"/>
      <c r="T29" s="295"/>
      <c r="U29" s="295"/>
      <c r="V29" s="295"/>
      <c r="W29" s="295"/>
      <c r="X29" s="295"/>
      <c r="Y29" s="295"/>
      <c r="Z29" s="295"/>
      <c r="AA29" s="295"/>
      <c r="AB29" s="295"/>
      <c r="AC29" s="295"/>
      <c r="AD29" s="295"/>
      <c r="AE29" s="295"/>
      <c r="AF29" s="295"/>
      <c r="AG29" s="300"/>
    </row>
    <row r="30" spans="2:33" ht="15" customHeight="1" x14ac:dyDescent="0.25">
      <c r="B30" s="18" t="s">
        <v>40</v>
      </c>
      <c r="C30" s="21" t="s">
        <v>39</v>
      </c>
      <c r="D30" s="21" t="s">
        <v>33</v>
      </c>
      <c r="E30" s="170">
        <v>0</v>
      </c>
      <c r="F30" s="290"/>
      <c r="G30" s="290"/>
      <c r="H30" s="290"/>
      <c r="I30" s="290"/>
      <c r="J30" s="290"/>
      <c r="K30" s="290"/>
      <c r="L30" s="290"/>
      <c r="M30" s="290"/>
      <c r="N30" s="290"/>
      <c r="O30" s="295"/>
      <c r="P30" s="295"/>
      <c r="Q30" s="295"/>
      <c r="R30" s="295"/>
      <c r="S30" s="295"/>
      <c r="T30" s="295"/>
      <c r="U30" s="295"/>
      <c r="V30" s="295"/>
      <c r="W30" s="295"/>
      <c r="X30" s="295"/>
      <c r="Y30" s="295"/>
      <c r="Z30" s="295"/>
      <c r="AA30" s="295"/>
      <c r="AB30" s="295"/>
      <c r="AC30" s="295"/>
      <c r="AD30" s="295"/>
      <c r="AE30" s="295"/>
      <c r="AF30" s="295"/>
      <c r="AG30" s="300"/>
    </row>
    <row r="31" spans="2:33" ht="21.75" thickBot="1" x14ac:dyDescent="0.3">
      <c r="B31" s="18" t="s">
        <v>41</v>
      </c>
      <c r="C31" s="21" t="s">
        <v>39</v>
      </c>
      <c r="D31" s="21" t="s">
        <v>33</v>
      </c>
      <c r="E31" s="170">
        <v>0</v>
      </c>
      <c r="F31" s="290"/>
      <c r="G31" s="290"/>
      <c r="H31" s="290"/>
      <c r="I31" s="290"/>
      <c r="J31" s="290"/>
      <c r="K31" s="290"/>
      <c r="L31" s="290"/>
      <c r="M31" s="290"/>
      <c r="N31" s="290"/>
      <c r="O31" s="295"/>
      <c r="P31" s="295"/>
      <c r="Q31" s="295"/>
      <c r="R31" s="295"/>
      <c r="S31" s="295"/>
      <c r="T31" s="295"/>
      <c r="U31" s="295"/>
      <c r="V31" s="295"/>
      <c r="W31" s="295"/>
      <c r="X31" s="295"/>
      <c r="Y31" s="295"/>
      <c r="Z31" s="295"/>
      <c r="AA31" s="295"/>
      <c r="AB31" s="295"/>
      <c r="AC31" s="295"/>
      <c r="AD31" s="295"/>
      <c r="AE31" s="295"/>
      <c r="AF31" s="295"/>
      <c r="AG31" s="300"/>
    </row>
    <row r="32" spans="2:33" x14ac:dyDescent="0.25">
      <c r="B32" s="29" t="s">
        <v>53</v>
      </c>
      <c r="C32" s="30" t="s">
        <v>42</v>
      </c>
      <c r="D32" s="31" t="s">
        <v>55</v>
      </c>
      <c r="E32" s="171">
        <v>0</v>
      </c>
      <c r="F32" s="478"/>
      <c r="G32" s="478"/>
      <c r="H32" s="478"/>
      <c r="I32" s="478"/>
      <c r="J32" s="478"/>
      <c r="K32" s="478"/>
      <c r="L32" s="478"/>
      <c r="M32" s="478"/>
      <c r="N32" s="478"/>
      <c r="O32" s="295"/>
      <c r="P32" s="295"/>
      <c r="Q32" s="295"/>
      <c r="R32" s="295"/>
      <c r="S32" s="295"/>
      <c r="T32" s="295"/>
      <c r="U32" s="295"/>
      <c r="V32" s="295"/>
      <c r="W32" s="295"/>
      <c r="X32" s="295"/>
      <c r="Y32" s="295"/>
      <c r="Z32" s="295"/>
      <c r="AA32" s="295"/>
      <c r="AB32" s="295"/>
      <c r="AC32" s="295"/>
      <c r="AD32" s="295"/>
      <c r="AE32" s="295"/>
      <c r="AF32" s="295"/>
      <c r="AG32" s="300"/>
    </row>
    <row r="33" spans="1:35" ht="21.75" thickBot="1" x14ac:dyDescent="0.3">
      <c r="B33" s="32" t="s">
        <v>54</v>
      </c>
      <c r="C33" s="22"/>
      <c r="D33" s="33" t="s">
        <v>56</v>
      </c>
      <c r="E33" s="172">
        <v>0</v>
      </c>
      <c r="F33" s="479"/>
      <c r="G33" s="479"/>
      <c r="H33" s="479"/>
      <c r="I33" s="479"/>
      <c r="J33" s="479"/>
      <c r="K33" s="479"/>
      <c r="L33" s="479"/>
      <c r="M33" s="479"/>
      <c r="N33" s="479"/>
      <c r="O33" s="295"/>
      <c r="P33" s="295"/>
      <c r="Q33" s="295"/>
      <c r="R33" s="295"/>
      <c r="S33" s="295"/>
      <c r="T33" s="295"/>
      <c r="U33" s="295"/>
      <c r="V33" s="295"/>
      <c r="W33" s="295"/>
      <c r="X33" s="295"/>
      <c r="Y33" s="295"/>
      <c r="Z33" s="295"/>
      <c r="AA33" s="295"/>
      <c r="AB33" s="295"/>
      <c r="AC33" s="295"/>
      <c r="AD33" s="295"/>
      <c r="AE33" s="295"/>
      <c r="AF33" s="295"/>
      <c r="AG33" s="300"/>
    </row>
    <row r="34" spans="1:35" ht="21.75" thickBot="1" x14ac:dyDescent="0.3">
      <c r="B34" s="36" t="s">
        <v>71</v>
      </c>
      <c r="C34" s="37"/>
      <c r="D34" s="38"/>
      <c r="E34" s="173"/>
      <c r="F34" s="121">
        <f>SUM(F5:F33)</f>
        <v>18.818545343295607</v>
      </c>
      <c r="G34" s="121">
        <f t="shared" ref="G34:AF34" si="6">SUM(G5:G33)</f>
        <v>20.392089711530328</v>
      </c>
      <c r="H34" s="121">
        <f t="shared" si="6"/>
        <v>20.98487363469939</v>
      </c>
      <c r="I34" s="121">
        <f t="shared" si="6"/>
        <v>21.034540763086611</v>
      </c>
      <c r="J34" s="121">
        <f t="shared" si="6"/>
        <v>20.881190241415194</v>
      </c>
      <c r="K34" s="121">
        <f t="shared" si="6"/>
        <v>20.191873083562864</v>
      </c>
      <c r="L34" s="121">
        <f t="shared" si="6"/>
        <v>19.457465934302373</v>
      </c>
      <c r="M34" s="121">
        <f t="shared" si="6"/>
        <v>18.136999296929563</v>
      </c>
      <c r="N34" s="121">
        <f t="shared" si="6"/>
        <v>17.608175325368425</v>
      </c>
      <c r="O34" s="121">
        <f t="shared" si="6"/>
        <v>25.402446943295608</v>
      </c>
      <c r="P34" s="121">
        <f t="shared" si="6"/>
        <v>27.084076111530329</v>
      </c>
      <c r="Q34" s="121">
        <f t="shared" si="6"/>
        <v>27.53382443469939</v>
      </c>
      <c r="R34" s="121">
        <f t="shared" si="6"/>
        <v>27.206450763086611</v>
      </c>
      <c r="S34" s="121">
        <f t="shared" si="6"/>
        <v>26.003922741415192</v>
      </c>
      <c r="T34" s="121">
        <f t="shared" si="6"/>
        <v>25.036013083562864</v>
      </c>
      <c r="U34" s="121">
        <f t="shared" si="6"/>
        <v>23.363028434302375</v>
      </c>
      <c r="V34" s="121">
        <f t="shared" si="6"/>
        <v>21.414889296929562</v>
      </c>
      <c r="W34" s="121">
        <f t="shared" si="6"/>
        <v>20.622300325368425</v>
      </c>
      <c r="X34" s="121">
        <f t="shared" si="6"/>
        <v>24.112306343295607</v>
      </c>
      <c r="Y34" s="121">
        <f t="shared" si="6"/>
        <v>25.453252111530333</v>
      </c>
      <c r="Z34" s="121">
        <f t="shared" si="6"/>
        <v>25.787595434699391</v>
      </c>
      <c r="AA34" s="121">
        <f t="shared" si="6"/>
        <v>25.25532576308661</v>
      </c>
      <c r="AB34" s="121">
        <f t="shared" si="6"/>
        <v>24.138238991415193</v>
      </c>
      <c r="AC34" s="121">
        <f t="shared" si="6"/>
        <v>22.723813083562867</v>
      </c>
      <c r="AD34" s="121">
        <f t="shared" si="6"/>
        <v>21.273084684302376</v>
      </c>
      <c r="AE34" s="121">
        <f t="shared" si="6"/>
        <v>19.284054296929561</v>
      </c>
      <c r="AF34" s="121">
        <f t="shared" si="6"/>
        <v>18.498066575368426</v>
      </c>
      <c r="AG34" s="300"/>
    </row>
    <row r="35" spans="1:35" s="1" customFormat="1" ht="21.75" thickBot="1" x14ac:dyDescent="0.3">
      <c r="B35" s="17" t="s">
        <v>47</v>
      </c>
      <c r="C35" s="42" t="s">
        <v>48</v>
      </c>
      <c r="D35" s="20"/>
      <c r="E35" s="169" t="s">
        <v>95</v>
      </c>
      <c r="F35" s="122">
        <f>0.71+0.92*F34</f>
        <v>18.023061715831961</v>
      </c>
      <c r="G35" s="122">
        <f t="shared" ref="G35:AF35" si="7">0.71+0.92*G34</f>
        <v>19.470722534607905</v>
      </c>
      <c r="H35" s="122">
        <f t="shared" si="7"/>
        <v>20.016083743923442</v>
      </c>
      <c r="I35" s="122">
        <f t="shared" si="7"/>
        <v>20.061777502039682</v>
      </c>
      <c r="J35" s="122">
        <f t="shared" si="7"/>
        <v>19.920695022101981</v>
      </c>
      <c r="K35" s="122">
        <f t="shared" si="7"/>
        <v>19.286523236877837</v>
      </c>
      <c r="L35" s="122">
        <f t="shared" si="7"/>
        <v>18.610868659558186</v>
      </c>
      <c r="M35" s="122">
        <f t="shared" si="7"/>
        <v>17.396039353175201</v>
      </c>
      <c r="N35" s="122">
        <f t="shared" si="7"/>
        <v>16.909521299338952</v>
      </c>
      <c r="O35" s="122">
        <f t="shared" si="7"/>
        <v>24.080251187831962</v>
      </c>
      <c r="P35" s="122">
        <f t="shared" si="7"/>
        <v>25.627350022607907</v>
      </c>
      <c r="Q35" s="122">
        <f t="shared" si="7"/>
        <v>26.041118479923441</v>
      </c>
      <c r="R35" s="122">
        <f t="shared" si="7"/>
        <v>25.739934702039683</v>
      </c>
      <c r="S35" s="122">
        <f t="shared" si="7"/>
        <v>24.633608922101978</v>
      </c>
      <c r="T35" s="122">
        <f t="shared" si="7"/>
        <v>23.743132036877835</v>
      </c>
      <c r="U35" s="122">
        <f t="shared" si="7"/>
        <v>22.203986159558188</v>
      </c>
      <c r="V35" s="122">
        <f t="shared" si="7"/>
        <v>20.411698153175198</v>
      </c>
      <c r="W35" s="122">
        <f t="shared" si="7"/>
        <v>19.682516299338953</v>
      </c>
      <c r="X35" s="122">
        <f t="shared" si="7"/>
        <v>22.893321835831962</v>
      </c>
      <c r="Y35" s="122">
        <f t="shared" si="7"/>
        <v>24.126991942607908</v>
      </c>
      <c r="Z35" s="122">
        <f t="shared" si="7"/>
        <v>24.434587799923442</v>
      </c>
      <c r="AA35" s="122">
        <f t="shared" si="7"/>
        <v>23.944899702039685</v>
      </c>
      <c r="AB35" s="122">
        <f t="shared" si="7"/>
        <v>22.917179872101979</v>
      </c>
      <c r="AC35" s="122">
        <f t="shared" si="7"/>
        <v>21.61590803687784</v>
      </c>
      <c r="AD35" s="122">
        <f t="shared" si="7"/>
        <v>20.281237909558186</v>
      </c>
      <c r="AE35" s="122">
        <f t="shared" si="7"/>
        <v>18.451329953175197</v>
      </c>
      <c r="AF35" s="122">
        <f t="shared" si="7"/>
        <v>17.728221249338954</v>
      </c>
      <c r="AG35" s="39"/>
      <c r="AI35" s="2"/>
    </row>
    <row r="36" spans="1:35" ht="22.5" thickTop="1" thickBot="1" x14ac:dyDescent="0.3">
      <c r="B36" s="43" t="s">
        <v>72</v>
      </c>
      <c r="C36" s="43"/>
      <c r="D36" s="43"/>
      <c r="E36" s="206" t="s">
        <v>97</v>
      </c>
      <c r="F36" s="205"/>
      <c r="G36" s="205"/>
      <c r="H36" s="205"/>
      <c r="I36" s="205"/>
      <c r="J36" s="205"/>
      <c r="K36" s="205"/>
      <c r="L36" s="205"/>
      <c r="M36" s="205"/>
      <c r="N36" s="205"/>
      <c r="O36" s="296"/>
      <c r="P36" s="296"/>
      <c r="Q36" s="296"/>
      <c r="R36" s="296"/>
      <c r="S36" s="296"/>
      <c r="T36" s="296"/>
      <c r="U36" s="296"/>
      <c r="V36" s="296"/>
      <c r="W36" s="296"/>
      <c r="X36" s="296"/>
      <c r="Y36" s="296"/>
      <c r="Z36" s="296"/>
      <c r="AA36" s="296"/>
      <c r="AB36" s="296"/>
      <c r="AC36" s="296"/>
      <c r="AD36" s="296"/>
      <c r="AE36" s="296"/>
      <c r="AF36" s="296"/>
      <c r="AG36" s="61"/>
    </row>
    <row r="37" spans="1:35" ht="21.75" thickTop="1" x14ac:dyDescent="0.25">
      <c r="B37" s="17" t="s">
        <v>43</v>
      </c>
      <c r="C37" s="20" t="s">
        <v>44</v>
      </c>
      <c r="D37" s="20" t="s">
        <v>33</v>
      </c>
      <c r="E37" s="169">
        <v>83.5</v>
      </c>
      <c r="AG37" s="61"/>
    </row>
    <row r="38" spans="1:35" x14ac:dyDescent="0.25">
      <c r="B38" s="18" t="s">
        <v>45</v>
      </c>
      <c r="C38" s="21" t="s">
        <v>32</v>
      </c>
      <c r="D38" s="21" t="s">
        <v>33</v>
      </c>
      <c r="E38" s="170">
        <v>1.46</v>
      </c>
      <c r="AI38" s="1"/>
    </row>
    <row r="39" spans="1:35" ht="21.75" thickBot="1" x14ac:dyDescent="0.3">
      <c r="B39" s="19" t="s">
        <v>46</v>
      </c>
      <c r="C39" s="22" t="s">
        <v>44</v>
      </c>
      <c r="D39" s="22" t="s">
        <v>33</v>
      </c>
      <c r="E39" s="172">
        <v>7.9</v>
      </c>
    </row>
    <row r="40" spans="1:35" x14ac:dyDescent="0.25">
      <c r="B40" s="4" t="s">
        <v>5</v>
      </c>
      <c r="C40" s="3" t="s">
        <v>6</v>
      </c>
      <c r="D40" s="4"/>
    </row>
    <row r="41" spans="1:35" x14ac:dyDescent="0.25">
      <c r="B41" s="4" t="s">
        <v>9</v>
      </c>
      <c r="C41" s="3" t="s">
        <v>7</v>
      </c>
      <c r="D41" s="4"/>
    </row>
    <row r="42" spans="1:35" x14ac:dyDescent="0.25">
      <c r="C42" s="3" t="s">
        <v>8</v>
      </c>
    </row>
    <row r="44" spans="1:35" x14ac:dyDescent="0.25">
      <c r="B44" s="2" t="s">
        <v>73</v>
      </c>
    </row>
    <row r="45" spans="1:35" x14ac:dyDescent="0.25">
      <c r="A45" s="6">
        <v>1</v>
      </c>
      <c r="B45" s="126" t="s">
        <v>84</v>
      </c>
    </row>
    <row r="46" spans="1:35" x14ac:dyDescent="0.25">
      <c r="A46" s="6">
        <v>2</v>
      </c>
      <c r="B46" s="126" t="s">
        <v>85</v>
      </c>
    </row>
    <row r="47" spans="1:35" x14ac:dyDescent="0.25">
      <c r="A47" s="6">
        <v>3</v>
      </c>
      <c r="B47" s="126" t="s">
        <v>81</v>
      </c>
    </row>
    <row r="48" spans="1:35" x14ac:dyDescent="0.25">
      <c r="A48" s="6">
        <v>4</v>
      </c>
      <c r="B48" s="126" t="s">
        <v>82</v>
      </c>
    </row>
  </sheetData>
  <sheetProtection insertHyperlinks="0" selectLockedCells="1"/>
  <mergeCells count="153">
    <mergeCell ref="J6:J9"/>
    <mergeCell ref="K6:K9"/>
    <mergeCell ref="AE6:AE9"/>
    <mergeCell ref="AF6:AF9"/>
    <mergeCell ref="G13:G15"/>
    <mergeCell ref="H13:H15"/>
    <mergeCell ref="I13:I15"/>
    <mergeCell ref="J13:J15"/>
    <mergeCell ref="K13:K15"/>
    <mergeCell ref="L13:L15"/>
    <mergeCell ref="X6:X9"/>
    <mergeCell ref="Y6:Y9"/>
    <mergeCell ref="Z6:Z9"/>
    <mergeCell ref="AA6:AA9"/>
    <mergeCell ref="AB6:AB9"/>
    <mergeCell ref="AC6:AC9"/>
    <mergeCell ref="R6:R9"/>
    <mergeCell ref="S6:S9"/>
    <mergeCell ref="T6:T9"/>
    <mergeCell ref="L6:L9"/>
    <mergeCell ref="M6:M9"/>
    <mergeCell ref="N6:N9"/>
    <mergeCell ref="W13:W15"/>
    <mergeCell ref="X13:X15"/>
    <mergeCell ref="M13:M15"/>
    <mergeCell ref="N13:N15"/>
    <mergeCell ref="O13:O15"/>
    <mergeCell ref="P13:P15"/>
    <mergeCell ref="Q13:Q15"/>
    <mergeCell ref="R13:R15"/>
    <mergeCell ref="AE13:AE15"/>
    <mergeCell ref="AD16:AD18"/>
    <mergeCell ref="AE16:AE18"/>
    <mergeCell ref="T16:T18"/>
    <mergeCell ref="U16:U18"/>
    <mergeCell ref="V16:V18"/>
    <mergeCell ref="W16:W18"/>
    <mergeCell ref="X16:X18"/>
    <mergeCell ref="Y16:Y18"/>
    <mergeCell ref="AA16:AA18"/>
    <mergeCell ref="AB16:AB18"/>
    <mergeCell ref="AC16:AC18"/>
    <mergeCell ref="AD6:AD9"/>
    <mergeCell ref="O6:O9"/>
    <mergeCell ref="P6:P9"/>
    <mergeCell ref="Q6:Q9"/>
    <mergeCell ref="P16:P18"/>
    <mergeCell ref="Q16:Q18"/>
    <mergeCell ref="R16:R18"/>
    <mergeCell ref="S16:S18"/>
    <mergeCell ref="U6:U9"/>
    <mergeCell ref="V6:V9"/>
    <mergeCell ref="W6:W9"/>
    <mergeCell ref="K19:K21"/>
    <mergeCell ref="L19:L21"/>
    <mergeCell ref="M19:M21"/>
    <mergeCell ref="N19:N21"/>
    <mergeCell ref="AF13:AF15"/>
    <mergeCell ref="G16:G18"/>
    <mergeCell ref="H16:H18"/>
    <mergeCell ref="I16:I18"/>
    <mergeCell ref="J16:J18"/>
    <mergeCell ref="K16:K18"/>
    <mergeCell ref="L16:L18"/>
    <mergeCell ref="M16:M18"/>
    <mergeCell ref="Y13:Y15"/>
    <mergeCell ref="Z13:Z15"/>
    <mergeCell ref="AA13:AA15"/>
    <mergeCell ref="AB13:AB15"/>
    <mergeCell ref="AC13:AC15"/>
    <mergeCell ref="AD13:AD15"/>
    <mergeCell ref="S13:S15"/>
    <mergeCell ref="T13:T15"/>
    <mergeCell ref="U13:U15"/>
    <mergeCell ref="V13:V15"/>
    <mergeCell ref="AF16:AF18"/>
    <mergeCell ref="Z16:Z18"/>
    <mergeCell ref="F6:F9"/>
    <mergeCell ref="F13:F15"/>
    <mergeCell ref="F16:F18"/>
    <mergeCell ref="F19:F21"/>
    <mergeCell ref="F22:F24"/>
    <mergeCell ref="F32:F33"/>
    <mergeCell ref="G32:G33"/>
    <mergeCell ref="H32:H33"/>
    <mergeCell ref="I32:I33"/>
    <mergeCell ref="G22:G24"/>
    <mergeCell ref="H22:H24"/>
    <mergeCell ref="I22:I24"/>
    <mergeCell ref="G19:G21"/>
    <mergeCell ref="H19:H21"/>
    <mergeCell ref="I19:I21"/>
    <mergeCell ref="G6:G9"/>
    <mergeCell ref="H6:H9"/>
    <mergeCell ref="I6:I9"/>
    <mergeCell ref="L32:L33"/>
    <mergeCell ref="M32:M33"/>
    <mergeCell ref="N32:N33"/>
    <mergeCell ref="O16:O18"/>
    <mergeCell ref="O19:O21"/>
    <mergeCell ref="F26:F28"/>
    <mergeCell ref="G26:G28"/>
    <mergeCell ref="H26:H28"/>
    <mergeCell ref="I26:I28"/>
    <mergeCell ref="J26:J28"/>
    <mergeCell ref="K26:K28"/>
    <mergeCell ref="L26:L28"/>
    <mergeCell ref="M26:M28"/>
    <mergeCell ref="N26:N28"/>
    <mergeCell ref="O26:O28"/>
    <mergeCell ref="L22:L24"/>
    <mergeCell ref="M22:M24"/>
    <mergeCell ref="N22:N24"/>
    <mergeCell ref="J32:J33"/>
    <mergeCell ref="K32:K33"/>
    <mergeCell ref="J22:J24"/>
    <mergeCell ref="K22:K24"/>
    <mergeCell ref="N16:N18"/>
    <mergeCell ref="J19:J21"/>
    <mergeCell ref="P19:P21"/>
    <mergeCell ref="Q19:Q21"/>
    <mergeCell ref="R19:R21"/>
    <mergeCell ref="S19:S21"/>
    <mergeCell ref="T19:T21"/>
    <mergeCell ref="U19:U21"/>
    <mergeCell ref="V19:V21"/>
    <mergeCell ref="W19:W21"/>
    <mergeCell ref="X19:X21"/>
    <mergeCell ref="P26:P28"/>
    <mergeCell ref="Q26:Q28"/>
    <mergeCell ref="R26:R28"/>
    <mergeCell ref="S26:S28"/>
    <mergeCell ref="T26:T28"/>
    <mergeCell ref="U26:U28"/>
    <mergeCell ref="V26:V28"/>
    <mergeCell ref="W26:W28"/>
    <mergeCell ref="X26:X28"/>
    <mergeCell ref="Y19:Y21"/>
    <mergeCell ref="Z19:Z21"/>
    <mergeCell ref="AA19:AA21"/>
    <mergeCell ref="AB19:AB21"/>
    <mergeCell ref="AC19:AC21"/>
    <mergeCell ref="AD19:AD21"/>
    <mergeCell ref="AE19:AE21"/>
    <mergeCell ref="AF19:AF21"/>
    <mergeCell ref="Y26:Y28"/>
    <mergeCell ref="Z26:Z28"/>
    <mergeCell ref="AA26:AA28"/>
    <mergeCell ref="AB26:AB28"/>
    <mergeCell ref="AC26:AC28"/>
    <mergeCell ref="AD26:AD28"/>
    <mergeCell ref="AE26:AE28"/>
    <mergeCell ref="AF26:AF28"/>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9</vt:i4>
      </vt:variant>
    </vt:vector>
  </HeadingPairs>
  <TitlesOfParts>
    <vt:vector size="22" baseType="lpstr">
      <vt:lpstr>Übersicht</vt:lpstr>
      <vt:lpstr>1. Laktation</vt:lpstr>
      <vt:lpstr>2.+3. Laktation</vt:lpstr>
      <vt:lpstr>ab 4. Laktation</vt:lpstr>
      <vt:lpstr>TMR 1. Lakt.</vt:lpstr>
      <vt:lpstr>TMR 2. Lakt.</vt:lpstr>
      <vt:lpstr>TMR ab 4. Lakt.</vt:lpstr>
      <vt:lpstr>F1</vt:lpstr>
      <vt:lpstr>F5</vt:lpstr>
      <vt:lpstr>Lakkurve</vt:lpstr>
      <vt:lpstr>Bedarf</vt:lpstr>
      <vt:lpstr>Demo</vt:lpstr>
      <vt:lpstr>Erhaltungsbedarf</vt:lpstr>
      <vt:lpstr>'1. Laktation'!Druckbereich</vt:lpstr>
      <vt:lpstr>'2.+3. Laktation'!Druckbereich</vt:lpstr>
      <vt:lpstr>'ab 4. Laktation'!Druckbereich</vt:lpstr>
      <vt:lpstr>Demo!Druckbereich</vt:lpstr>
      <vt:lpstr>'F1'!Druckbereich</vt:lpstr>
      <vt:lpstr>'TMR 1. Lakt.'!Druckbereich</vt:lpstr>
      <vt:lpstr>'TMR 2. Lakt.'!Druckbereich</vt:lpstr>
      <vt:lpstr>'TMR ab 4. Lakt.'!Druckbereich</vt:lpstr>
      <vt:lpstr>Übersicht!Druckbereich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Rainer Möller</dc:creator>
  <cp:lastModifiedBy>Rainer Möller</cp:lastModifiedBy>
  <cp:lastPrinted>2025-12-03T10:25:43Z</cp:lastPrinted>
  <dcterms:created xsi:type="dcterms:W3CDTF">2011-11-23T09:57:42Z</dcterms:created>
  <dcterms:modified xsi:type="dcterms:W3CDTF">2026-01-07T20:55:42Z</dcterms:modified>
</cp:coreProperties>
</file>